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3.xml" ContentType="application/vnd.openxmlformats-officedocument.drawing+xml"/>
  <Override PartName="/xl/charts/chart71.xml" ContentType="application/vnd.openxmlformats-officedocument.drawingml.chart+xml"/>
  <Override PartName="/xl/drawings/drawing4.xml" ContentType="application/vnd.openxmlformats-officedocument.drawing+xml"/>
  <Override PartName="/xl/charts/chart72.xml" ContentType="application/vnd.openxmlformats-officedocument.drawingml.chart+xml"/>
  <Override PartName="/xl/drawings/drawing5.xml" ContentType="application/vnd.openxmlformats-officedocument.drawing+xml"/>
  <Override PartName="/xl/charts/chart7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580" yWindow="3180" windowWidth="7530" windowHeight="2445" tabRatio="782" firstSheet="1" activeTab="1"/>
  </bookViews>
  <sheets>
    <sheet name="Update 2014" sheetId="38" state="hidden" r:id="rId1"/>
    <sheet name="Cover" sheetId="1" r:id="rId2"/>
    <sheet name="Scotland" sheetId="31" state="hidden" r:id="rId3"/>
    <sheet name="Evaluation and Deprivation" sheetId="34" state="hidden" r:id="rId4"/>
    <sheet name="Evaluation Graph Attempt" sheetId="33" state="hidden" r:id="rId5"/>
    <sheet name="Deprivation Graph Attempt" sheetId="32" state="hidden" r:id="rId6"/>
    <sheet name="LFR Data" sheetId="3" state="hidden" r:id="rId7"/>
    <sheet name="GAE Data" sheetId="4" state="hidden" r:id="rId8"/>
    <sheet name="Population Projections 65+" sheetId="29" state="hidden" r:id="rId9"/>
    <sheet name="Statistics - Older People" sheetId="25" state="hidden" r:id="rId10"/>
    <sheet name="Statistics - Children" sheetId="26" state="hidden" r:id="rId11"/>
    <sheet name="Population Figures" sheetId="19" r:id="rId12"/>
    <sheet name="Per Capita Data - Overall" sheetId="20" state="hidden" r:id="rId13"/>
    <sheet name="Per Capita Data - C&amp;F" sheetId="21" state="hidden" r:id="rId14"/>
    <sheet name="Per Capita Data - Older" sheetId="22" state="hidden" r:id="rId15"/>
    <sheet name="Per Capita Data - LD" sheetId="23" state="hidden" r:id="rId16"/>
    <sheet name="Per Capita Data - MH" sheetId="27" state="hidden" r:id="rId17"/>
    <sheet name="Per Capita Data - Other needs" sheetId="28" state="hidden" r:id="rId18"/>
    <sheet name="2003-04" sheetId="15" state="hidden" r:id="rId19"/>
    <sheet name="2004-05" sheetId="14" state="hidden" r:id="rId20"/>
    <sheet name="2005-06" sheetId="13" state="hidden" r:id="rId21"/>
    <sheet name="2006-07" sheetId="12" state="hidden" r:id="rId22"/>
    <sheet name="2007-08" sheetId="11" state="hidden" r:id="rId23"/>
    <sheet name="2008-09" sheetId="18" state="hidden" r:id="rId24"/>
    <sheet name="2009-10" sheetId="35" state="hidden" r:id="rId25"/>
    <sheet name="2010-11" sheetId="37" state="hidden" r:id="rId26"/>
    <sheet name="2011-12" sheetId="39" state="hidden" r:id="rId27"/>
    <sheet name="2014-15" sheetId="43" state="hidden" r:id="rId28"/>
    <sheet name="2013-14" sheetId="42" state="hidden" r:id="rId29"/>
    <sheet name="2012-13" sheetId="40" state="hidden" r:id="rId30"/>
    <sheet name="Deflators" sheetId="41" state="hidden" r:id="rId31"/>
  </sheets>
  <definedNames>
    <definedName name="_xlnm._FilterDatabase" localSheetId="22" hidden="1">'2007-08'!$A$2:$M$35</definedName>
    <definedName name="_xlnm._FilterDatabase" localSheetId="1" hidden="1">Cover!#REF!</definedName>
    <definedName name="_xlnm._FilterDatabase" localSheetId="3" hidden="1">'Evaluation and Deprivation'!$M$2:$O$34</definedName>
    <definedName name="_xlnm._FilterDatabase" localSheetId="7" hidden="1">'GAE Data'!$A$2:$K$35</definedName>
    <definedName name="_xlnm._FilterDatabase" localSheetId="13" hidden="1">'Per Capita Data - C&amp;F'!$A$2:$E$2</definedName>
    <definedName name="_xlnm._FilterDatabase" localSheetId="15" hidden="1">'Per Capita Data - LD'!$A$2:$E$2</definedName>
    <definedName name="_xlnm._FilterDatabase" localSheetId="16" hidden="1">'Per Capita Data - MH'!$A$2:$E$2</definedName>
    <definedName name="_xlnm._FilterDatabase" localSheetId="14" hidden="1">'Per Capita Data - Older'!$B$2:$E$2</definedName>
    <definedName name="_xlnm._FilterDatabase" localSheetId="17" hidden="1">'Per Capita Data - Other needs'!$A$2:$E$2</definedName>
    <definedName name="_xlnm._FilterDatabase" localSheetId="12" hidden="1">'Per Capita Data - Overall'!$A$2:$F$34</definedName>
    <definedName name="_xlnm._FilterDatabase" localSheetId="2" hidden="1">Scotland!#REF!</definedName>
    <definedName name="_xlnm._FilterDatabase" localSheetId="9" hidden="1">'Statistics - Older People'!$M$351:$Q$351</definedName>
    <definedName name="delete" localSheetId="2">Scotland!$A$405</definedName>
    <definedName name="delete">Cover!$A$459</definedName>
    <definedName name="_xlnm.Print_Area" localSheetId="26">'2011-12'!$A$2:$M$35</definedName>
    <definedName name="_xlnm.Print_Area" localSheetId="29">'2012-13'!$A$2:$M$35</definedName>
    <definedName name="_xlnm.Print_Area" localSheetId="1">Cover!$A$1:$K$1001</definedName>
    <definedName name="_xlnm.Print_Area" localSheetId="6">'LFR Data'!$A$1:$R$24</definedName>
    <definedName name="_xlnm.Print_Area" localSheetId="8">'Population Projections 65+'!$A$1:$V$39</definedName>
    <definedName name="_xlnm.Print_Area" localSheetId="2">Scotland!$A$1:$H$946</definedName>
    <definedName name="_xlnm.Print_Area" localSheetId="9">'Statistics - Older People'!$A$267:$S$304</definedName>
    <definedName name="_xlnm.Print_Titles" localSheetId="1">Cover!$1:$6</definedName>
    <definedName name="_xlnm.Print_Titles" localSheetId="2">Scotland!$1:$6</definedName>
  </definedNames>
  <calcPr calcId="145621"/>
</workbook>
</file>

<file path=xl/calcChain.xml><?xml version="1.0" encoding="utf-8"?>
<calcChain xmlns="http://schemas.openxmlformats.org/spreadsheetml/2006/main">
  <c r="F420" i="25" l="1"/>
  <c r="F409" i="25"/>
  <c r="F421" i="25"/>
  <c r="X679" i="1"/>
  <c r="X678" i="1"/>
  <c r="X677" i="1"/>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13" i="25"/>
  <c r="D312" i="25"/>
  <c r="D311"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30" i="25"/>
  <c r="A534" i="1" l="1"/>
  <c r="A390" i="1" l="1"/>
  <c r="A357" i="1"/>
  <c r="A303" i="1"/>
  <c r="V253" i="1"/>
  <c r="V252" i="1"/>
  <c r="V251" i="1"/>
  <c r="V247" i="1"/>
  <c r="U247" i="1"/>
  <c r="T247" i="1"/>
  <c r="S247" i="1"/>
  <c r="R247" i="1"/>
  <c r="Q247" i="1"/>
  <c r="P247" i="1"/>
  <c r="O247" i="1"/>
  <c r="N247" i="1"/>
  <c r="V246" i="1"/>
  <c r="U246" i="1"/>
  <c r="T246" i="1"/>
  <c r="S246" i="1"/>
  <c r="R246" i="1"/>
  <c r="Q246" i="1"/>
  <c r="P246" i="1"/>
  <c r="O246" i="1"/>
  <c r="N246" i="1"/>
  <c r="V245" i="1"/>
  <c r="U245" i="1"/>
  <c r="A238" i="1"/>
  <c r="V228" i="1"/>
  <c r="V227" i="1"/>
  <c r="V226" i="1"/>
  <c r="A237" i="1" s="1"/>
  <c r="V225" i="1"/>
  <c r="A236" i="1" s="1"/>
  <c r="U225" i="1"/>
  <c r="T225" i="1"/>
  <c r="R225" i="1"/>
  <c r="S225" i="1"/>
  <c r="Q225" i="1"/>
  <c r="P225" i="1"/>
  <c r="O225" i="1"/>
  <c r="R48" i="26"/>
  <c r="R47" i="26"/>
  <c r="R46" i="26"/>
  <c r="R1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14" i="26"/>
  <c r="Q46" i="26"/>
  <c r="Q15" i="26"/>
  <c r="Q16" i="26"/>
  <c r="Q17" i="26"/>
  <c r="Q18" i="26"/>
  <c r="Q19" i="26"/>
  <c r="Q20" i="26"/>
  <c r="Q21" i="26"/>
  <c r="Q22" i="26"/>
  <c r="Q23" i="26"/>
  <c r="Q24" i="26"/>
  <c r="Q25" i="26"/>
  <c r="Q26" i="26"/>
  <c r="Q27" i="26"/>
  <c r="Q28" i="26"/>
  <c r="Q29" i="26"/>
  <c r="Q30" i="26"/>
  <c r="Q31" i="26"/>
  <c r="Q32" i="26"/>
  <c r="Q33" i="26"/>
  <c r="Q34" i="26"/>
  <c r="Q35" i="26"/>
  <c r="Q36" i="26"/>
  <c r="Q37" i="26"/>
  <c r="Q38" i="26"/>
  <c r="Q39" i="26"/>
  <c r="Q40" i="26"/>
  <c r="Q41" i="26"/>
  <c r="Q42" i="26"/>
  <c r="Q43" i="26"/>
  <c r="Q44" i="26"/>
  <c r="Q45" i="26"/>
  <c r="Q14" i="26"/>
  <c r="P46"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14" i="26"/>
  <c r="O46"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14" i="26"/>
  <c r="N46"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14" i="26"/>
  <c r="M46" i="26"/>
  <c r="M18" i="26"/>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15" i="26"/>
  <c r="M16" i="26"/>
  <c r="M17" i="26"/>
  <c r="M14" i="26"/>
  <c r="L46"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14" i="26"/>
  <c r="K4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15" i="26"/>
  <c r="K16" i="26"/>
  <c r="K14" i="26"/>
  <c r="A741" i="1"/>
  <c r="W247" i="1" l="1"/>
  <c r="W246" i="1"/>
  <c r="P404" i="25"/>
  <c r="Q404" i="25" s="1"/>
  <c r="P410" i="25"/>
  <c r="Q410" i="25" s="1"/>
  <c r="P424" i="25"/>
  <c r="Q424" i="25" s="1"/>
  <c r="P423" i="25"/>
  <c r="Q423" i="25" s="1"/>
  <c r="P426" i="25"/>
  <c r="Q426" i="25" s="1"/>
  <c r="P405" i="25"/>
  <c r="Q405" i="25" s="1"/>
  <c r="P406" i="25"/>
  <c r="Q406" i="25" s="1"/>
  <c r="P425" i="25"/>
  <c r="Q425" i="25" s="1"/>
  <c r="P416" i="25"/>
  <c r="Q416" i="25" s="1"/>
  <c r="P399" i="25"/>
  <c r="Q399" i="25" s="1"/>
  <c r="P414" i="25"/>
  <c r="Q414" i="25" s="1"/>
  <c r="P422" i="25"/>
  <c r="Q422" i="25" s="1"/>
  <c r="P403" i="25"/>
  <c r="Q403" i="25" s="1"/>
  <c r="P397" i="25"/>
  <c r="Q397" i="25" s="1"/>
  <c r="P418" i="25"/>
  <c r="Q418" i="25" s="1"/>
  <c r="P398" i="25"/>
  <c r="Q398" i="25" s="1"/>
  <c r="P411" i="25"/>
  <c r="Q411" i="25" s="1"/>
  <c r="P408" i="25"/>
  <c r="Q408" i="25" s="1"/>
  <c r="P421" i="25"/>
  <c r="Q421" i="25" s="1"/>
  <c r="P417" i="25"/>
  <c r="Q417" i="25" s="1"/>
  <c r="P427" i="25"/>
  <c r="Q427" i="25" s="1"/>
  <c r="P428" i="25"/>
  <c r="Q428" i="25" s="1"/>
  <c r="P402" i="25"/>
  <c r="Q402" i="25" s="1"/>
  <c r="P407" i="25"/>
  <c r="Q407" i="25" s="1"/>
  <c r="P401" i="25"/>
  <c r="Q401" i="25" s="1"/>
  <c r="P429" i="25"/>
  <c r="Q429" i="25" s="1"/>
  <c r="P409" i="25"/>
  <c r="Q409" i="25" s="1"/>
  <c r="P413" i="25"/>
  <c r="Q413" i="25" s="1"/>
  <c r="P420" i="25"/>
  <c r="Q420" i="25" s="1"/>
  <c r="P415" i="25"/>
  <c r="Q415" i="25" s="1"/>
  <c r="P419" i="25"/>
  <c r="Q419" i="25" s="1"/>
  <c r="P412" i="25"/>
  <c r="Q412" i="25" s="1"/>
  <c r="P400" i="25"/>
  <c r="Q400" i="25" s="1"/>
  <c r="A582" i="1" l="1"/>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64" i="25"/>
  <c r="X542" i="1"/>
  <c r="A581" i="1" s="1"/>
  <c r="V52" i="25"/>
  <c r="V21" i="25"/>
  <c r="X543" i="1" s="1"/>
  <c r="V22" i="25"/>
  <c r="V23" i="25"/>
  <c r="V24" i="25"/>
  <c r="V25" i="25"/>
  <c r="V26" i="25"/>
  <c r="V27" i="25"/>
  <c r="V28" i="25"/>
  <c r="V29" i="25"/>
  <c r="S54" i="25" s="1"/>
  <c r="V30" i="25"/>
  <c r="V31" i="25"/>
  <c r="V32" i="25"/>
  <c r="V33" i="25"/>
  <c r="V34" i="25"/>
  <c r="V35" i="25"/>
  <c r="V36" i="25"/>
  <c r="V37" i="25"/>
  <c r="V38" i="25"/>
  <c r="V39" i="25"/>
  <c r="V40" i="25"/>
  <c r="V41" i="25"/>
  <c r="V42" i="25"/>
  <c r="V43" i="25"/>
  <c r="V44" i="25"/>
  <c r="V45" i="25"/>
  <c r="V46" i="25"/>
  <c r="V47" i="25"/>
  <c r="V48" i="25"/>
  <c r="V49" i="25"/>
  <c r="V50" i="25"/>
  <c r="V51" i="25"/>
  <c r="V20" i="25"/>
  <c r="X544" i="1" s="1"/>
  <c r="S55" i="25" l="1"/>
  <c r="X541" i="1"/>
  <c r="A580" i="1" s="1"/>
  <c r="A90" i="1"/>
  <c r="A999" i="1"/>
  <c r="A998" i="1"/>
  <c r="A924" i="1"/>
  <c r="A923" i="1"/>
  <c r="A851" i="1"/>
  <c r="A533" i="1"/>
  <c r="A145" i="1"/>
  <c r="A144" i="1"/>
  <c r="A216" i="1"/>
  <c r="A215" i="1"/>
  <c r="A971" i="1" l="1"/>
  <c r="X963" i="1"/>
  <c r="X962" i="1"/>
  <c r="X961" i="1"/>
  <c r="X960" i="1"/>
  <c r="X933" i="1"/>
  <c r="A897" i="1"/>
  <c r="X890" i="1"/>
  <c r="X889" i="1"/>
  <c r="X888" i="1"/>
  <c r="X887" i="1"/>
  <c r="Y857" i="1"/>
  <c r="A821" i="1"/>
  <c r="X813" i="1"/>
  <c r="X812" i="1"/>
  <c r="X811" i="1"/>
  <c r="X810" i="1"/>
  <c r="X786" i="1"/>
  <c r="A507" i="1"/>
  <c r="X495" i="1"/>
  <c r="X494" i="1"/>
  <c r="X493" i="1"/>
  <c r="X492" i="1"/>
  <c r="X468" i="1"/>
  <c r="A190" i="1"/>
  <c r="X179" i="1"/>
  <c r="X178" i="1"/>
  <c r="X177" i="1"/>
  <c r="X176" i="1"/>
  <c r="X154" i="1"/>
  <c r="M115" i="1"/>
  <c r="W101" i="1"/>
  <c r="W100" i="1"/>
  <c r="W99" i="1"/>
  <c r="W98" i="1"/>
  <c r="W97" i="1"/>
  <c r="W96" i="1"/>
  <c r="W95" i="1"/>
  <c r="K36" i="1"/>
  <c r="Q24" i="3"/>
  <c r="M24" i="3"/>
  <c r="L24" i="3"/>
  <c r="K24" i="3"/>
  <c r="J24" i="3"/>
  <c r="H24" i="3"/>
  <c r="F24" i="3"/>
  <c r="E24" i="3"/>
  <c r="C24" i="3"/>
  <c r="B24" i="3"/>
  <c r="R23" i="3"/>
  <c r="Q23" i="3"/>
  <c r="P23" i="3"/>
  <c r="P22" i="3"/>
  <c r="P21" i="3"/>
  <c r="O23" i="3"/>
  <c r="O22" i="3"/>
  <c r="O21" i="3"/>
  <c r="N23" i="3"/>
  <c r="M23" i="3"/>
  <c r="L23" i="3"/>
  <c r="K23" i="3"/>
  <c r="J23" i="3"/>
  <c r="I23" i="3"/>
  <c r="H23" i="3"/>
  <c r="G23" i="3"/>
  <c r="F23" i="3"/>
  <c r="E23" i="3"/>
  <c r="D23" i="3"/>
  <c r="C23" i="3"/>
  <c r="B23" i="3"/>
  <c r="Q11" i="3"/>
  <c r="P11" i="3"/>
  <c r="K87" i="1" s="1"/>
  <c r="P9" i="3"/>
  <c r="P10" i="3"/>
  <c r="O11" i="3"/>
  <c r="O10" i="3"/>
  <c r="O9" i="3"/>
  <c r="M11" i="3"/>
  <c r="L11" i="3"/>
  <c r="K11" i="3"/>
  <c r="J11" i="3"/>
  <c r="H11" i="3"/>
  <c r="K79" i="1" s="1"/>
  <c r="P115" i="1" s="1"/>
  <c r="F11" i="3"/>
  <c r="E11" i="3"/>
  <c r="K86" i="1" s="1"/>
  <c r="C11" i="3"/>
  <c r="K85" i="1" s="1"/>
  <c r="M35" i="42"/>
  <c r="M4" i="42"/>
  <c r="M5" i="42"/>
  <c r="M6" i="42"/>
  <c r="M7" i="42"/>
  <c r="M8" i="42"/>
  <c r="M9" i="42"/>
  <c r="M10" i="42"/>
  <c r="M11" i="42"/>
  <c r="M12" i="42"/>
  <c r="M13" i="42"/>
  <c r="M14" i="42"/>
  <c r="M15" i="42"/>
  <c r="M16" i="42"/>
  <c r="M17" i="42"/>
  <c r="M18" i="42"/>
  <c r="M19" i="42"/>
  <c r="M20" i="42"/>
  <c r="M21" i="42"/>
  <c r="M22" i="42"/>
  <c r="M23" i="42"/>
  <c r="M24" i="42"/>
  <c r="M25" i="42"/>
  <c r="M26" i="42"/>
  <c r="M27" i="42"/>
  <c r="M28" i="42"/>
  <c r="M29" i="42"/>
  <c r="M30" i="42"/>
  <c r="M31" i="42"/>
  <c r="M32" i="42"/>
  <c r="M33" i="42"/>
  <c r="M34" i="42"/>
  <c r="M3" i="42"/>
  <c r="J35" i="42"/>
  <c r="J4" i="42"/>
  <c r="J5" i="42"/>
  <c r="J6" i="42"/>
  <c r="J7" i="42"/>
  <c r="J8" i="42"/>
  <c r="J9" i="42"/>
  <c r="J10" i="42"/>
  <c r="J11" i="42"/>
  <c r="J12" i="42"/>
  <c r="J13" i="42"/>
  <c r="J14" i="42"/>
  <c r="J15" i="42"/>
  <c r="J16" i="42"/>
  <c r="J17" i="42"/>
  <c r="J18" i="42"/>
  <c r="J19" i="42"/>
  <c r="J20" i="42"/>
  <c r="J21" i="42"/>
  <c r="J22" i="42"/>
  <c r="J23" i="42"/>
  <c r="J24" i="42"/>
  <c r="J25" i="42"/>
  <c r="J26" i="42"/>
  <c r="J27" i="42"/>
  <c r="J28" i="42"/>
  <c r="J29" i="42"/>
  <c r="J30" i="42"/>
  <c r="J31" i="42"/>
  <c r="J32" i="42"/>
  <c r="J33" i="42"/>
  <c r="J34" i="42"/>
  <c r="J3" i="42"/>
  <c r="I35" i="42"/>
  <c r="I4" i="42"/>
  <c r="I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 i="42"/>
  <c r="H35" i="42"/>
  <c r="H4" i="42"/>
  <c r="H5" i="42"/>
  <c r="H6" i="42"/>
  <c r="H7" i="42"/>
  <c r="H8" i="42"/>
  <c r="H9" i="42"/>
  <c r="H10" i="42"/>
  <c r="H11" i="42"/>
  <c r="H12" i="42"/>
  <c r="H13" i="42"/>
  <c r="H14" i="42"/>
  <c r="H15" i="42"/>
  <c r="H16" i="42"/>
  <c r="H17" i="42"/>
  <c r="H18" i="42"/>
  <c r="H19" i="42"/>
  <c r="H20" i="42"/>
  <c r="H21" i="42"/>
  <c r="H22" i="42"/>
  <c r="H23" i="42"/>
  <c r="H24" i="42"/>
  <c r="H25" i="42"/>
  <c r="H26" i="42"/>
  <c r="H27" i="42"/>
  <c r="H28" i="42"/>
  <c r="H29" i="42"/>
  <c r="H30" i="42"/>
  <c r="H31" i="42"/>
  <c r="H32" i="42"/>
  <c r="H33" i="42"/>
  <c r="H34" i="42"/>
  <c r="H3" i="42"/>
  <c r="G35" i="42"/>
  <c r="G4" i="42"/>
  <c r="G5" i="42"/>
  <c r="G6" i="42"/>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 i="42"/>
  <c r="C35" i="42"/>
  <c r="E35" i="42"/>
  <c r="E4" i="42"/>
  <c r="E5" i="42"/>
  <c r="E6" i="42"/>
  <c r="E7" i="42"/>
  <c r="E8" i="42"/>
  <c r="E9" i="42"/>
  <c r="E10" i="42"/>
  <c r="E11" i="42"/>
  <c r="E12" i="42"/>
  <c r="E13" i="42"/>
  <c r="E14" i="42"/>
  <c r="E15" i="42"/>
  <c r="E16" i="42"/>
  <c r="E17" i="42"/>
  <c r="E18" i="42"/>
  <c r="E19" i="42"/>
  <c r="E20" i="42"/>
  <c r="E21" i="42"/>
  <c r="E22" i="42"/>
  <c r="E23" i="42"/>
  <c r="E24" i="42"/>
  <c r="E25" i="42"/>
  <c r="E26" i="42"/>
  <c r="E27" i="42"/>
  <c r="E28" i="42"/>
  <c r="E29" i="42"/>
  <c r="E30" i="42"/>
  <c r="E31" i="42"/>
  <c r="E32" i="42"/>
  <c r="E33" i="42"/>
  <c r="E34" i="42"/>
  <c r="E3" i="42"/>
  <c r="D35" i="42"/>
  <c r="D4" i="42"/>
  <c r="D5" i="42"/>
  <c r="D6" i="42"/>
  <c r="D7" i="42"/>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4" i="42"/>
  <c r="C5" i="42"/>
  <c r="C6" i="42"/>
  <c r="C7" i="42"/>
  <c r="C8" i="42"/>
  <c r="C9" i="42"/>
  <c r="C3" i="42"/>
  <c r="B4" i="42"/>
  <c r="B5" i="42"/>
  <c r="B6" i="42"/>
  <c r="B7" i="42"/>
  <c r="B8" i="42"/>
  <c r="B9" i="42"/>
  <c r="B10" i="42"/>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 i="42"/>
  <c r="B11" i="3"/>
  <c r="K33" i="1" s="1"/>
  <c r="M35" i="43"/>
  <c r="M4" i="43"/>
  <c r="M5" i="43"/>
  <c r="M6" i="43"/>
  <c r="M7" i="43"/>
  <c r="M8" i="43"/>
  <c r="M9" i="43"/>
  <c r="M10" i="43"/>
  <c r="M11" i="43"/>
  <c r="M12" i="43"/>
  <c r="M13" i="43"/>
  <c r="M14" i="43"/>
  <c r="M15" i="43"/>
  <c r="M16" i="43"/>
  <c r="M17" i="43"/>
  <c r="M18" i="43"/>
  <c r="M19" i="43"/>
  <c r="M20" i="43"/>
  <c r="M21" i="43"/>
  <c r="M22" i="43"/>
  <c r="M23" i="43"/>
  <c r="M24" i="43"/>
  <c r="M25" i="43"/>
  <c r="M26" i="43"/>
  <c r="M27" i="43"/>
  <c r="M28" i="43"/>
  <c r="M29" i="43"/>
  <c r="M30" i="43"/>
  <c r="M31" i="43"/>
  <c r="M32" i="43"/>
  <c r="M33" i="43"/>
  <c r="M34" i="43"/>
  <c r="M3" i="43"/>
  <c r="J35" i="43"/>
  <c r="J4" i="43"/>
  <c r="J5" i="43"/>
  <c r="J6" i="43"/>
  <c r="J7" i="43"/>
  <c r="J8" i="43"/>
  <c r="J9" i="43"/>
  <c r="J10" i="43"/>
  <c r="J11" i="43"/>
  <c r="J12" i="43"/>
  <c r="J13" i="43"/>
  <c r="J14" i="43"/>
  <c r="J15" i="43"/>
  <c r="J16" i="43"/>
  <c r="J17" i="43"/>
  <c r="J18" i="43"/>
  <c r="J19" i="43"/>
  <c r="J20" i="43"/>
  <c r="J21" i="43"/>
  <c r="J22" i="43"/>
  <c r="J23" i="43"/>
  <c r="J24" i="43"/>
  <c r="J25" i="43"/>
  <c r="J26" i="43"/>
  <c r="J27" i="43"/>
  <c r="J28" i="43"/>
  <c r="J29" i="43"/>
  <c r="J30" i="43"/>
  <c r="J31" i="43"/>
  <c r="J32" i="43"/>
  <c r="J33" i="43"/>
  <c r="J34" i="43"/>
  <c r="J3" i="43"/>
  <c r="I35" i="43"/>
  <c r="I4" i="43"/>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 i="43"/>
  <c r="H35" i="43"/>
  <c r="H4" i="43"/>
  <c r="H5" i="43"/>
  <c r="H6" i="43"/>
  <c r="H7" i="43"/>
  <c r="H8" i="43"/>
  <c r="H9" i="43"/>
  <c r="H10" i="43"/>
  <c r="H11" i="43"/>
  <c r="H12" i="43"/>
  <c r="H13" i="43"/>
  <c r="H14" i="43"/>
  <c r="H15" i="43"/>
  <c r="H16" i="43"/>
  <c r="H17" i="43"/>
  <c r="H18" i="43"/>
  <c r="H19" i="43"/>
  <c r="H20" i="43"/>
  <c r="H21" i="43"/>
  <c r="H22" i="43"/>
  <c r="H23" i="43"/>
  <c r="H24" i="43"/>
  <c r="H25" i="43"/>
  <c r="H26" i="43"/>
  <c r="H27" i="43"/>
  <c r="H28" i="43"/>
  <c r="H29" i="43"/>
  <c r="H30" i="43"/>
  <c r="H31" i="43"/>
  <c r="H32" i="43"/>
  <c r="H33" i="43"/>
  <c r="H34" i="43"/>
  <c r="H3" i="43"/>
  <c r="G35" i="43"/>
  <c r="G4" i="43"/>
  <c r="G5" i="43"/>
  <c r="G6"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 i="43"/>
  <c r="F35" i="43"/>
  <c r="F4" i="43"/>
  <c r="F5" i="43"/>
  <c r="F6" i="43"/>
  <c r="F7" i="43"/>
  <c r="F8" i="43"/>
  <c r="F9" i="43"/>
  <c r="F10" i="43"/>
  <c r="F11" i="43"/>
  <c r="F12" i="43"/>
  <c r="F13" i="43"/>
  <c r="F14" i="43"/>
  <c r="F15" i="43"/>
  <c r="F16" i="43"/>
  <c r="F17" i="43"/>
  <c r="F18" i="43"/>
  <c r="F19" i="43"/>
  <c r="F20" i="43"/>
  <c r="F21" i="43"/>
  <c r="F22" i="43"/>
  <c r="F23" i="43"/>
  <c r="F24" i="43"/>
  <c r="F25" i="43"/>
  <c r="F26" i="43"/>
  <c r="F27" i="43"/>
  <c r="F28" i="43"/>
  <c r="F29" i="43"/>
  <c r="F30" i="43"/>
  <c r="F31" i="43"/>
  <c r="F32" i="43"/>
  <c r="F33" i="43"/>
  <c r="F34" i="43"/>
  <c r="F3" i="43"/>
  <c r="E35" i="43"/>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 i="43"/>
  <c r="D35" i="43"/>
  <c r="D4" i="43"/>
  <c r="D5"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 i="43"/>
  <c r="C35"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 i="43"/>
  <c r="B35"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 i="43"/>
  <c r="M39" i="43"/>
  <c r="M2" i="41"/>
  <c r="G97" i="1" l="1"/>
  <c r="G96" i="1"/>
  <c r="G98" i="1"/>
  <c r="G99" i="1"/>
  <c r="G100" i="1"/>
  <c r="G11" i="3"/>
  <c r="K76" i="1"/>
  <c r="D98" i="1" s="1"/>
  <c r="K84" i="1"/>
  <c r="S115" i="1" s="1"/>
  <c r="D11" i="3"/>
  <c r="I11" i="3"/>
  <c r="K78" i="1"/>
  <c r="K82" i="1"/>
  <c r="N11" i="3"/>
  <c r="K83" i="1"/>
  <c r="K80" i="1"/>
  <c r="R11" i="3"/>
  <c r="K77" i="1"/>
  <c r="K81" i="1"/>
  <c r="K384"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52" i="25"/>
  <c r="J384"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53" i="25"/>
  <c r="J354" i="25"/>
  <c r="J355" i="25"/>
  <c r="J356" i="25"/>
  <c r="J357" i="25"/>
  <c r="J358" i="25"/>
  <c r="J352" i="25"/>
  <c r="I38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53" i="25"/>
  <c r="I354" i="25"/>
  <c r="I352" i="25"/>
  <c r="H38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53" i="25"/>
  <c r="H354" i="25"/>
  <c r="H352" i="25"/>
  <c r="G384"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55" i="25"/>
  <c r="G356" i="25"/>
  <c r="G353" i="25"/>
  <c r="G354" i="25"/>
  <c r="G352" i="25"/>
  <c r="L83" i="1" l="1"/>
  <c r="D97" i="1"/>
  <c r="Q115" i="1"/>
  <c r="D99" i="1"/>
  <c r="O115" i="1"/>
  <c r="D96" i="1"/>
  <c r="R115" i="1"/>
  <c r="D100" i="1"/>
  <c r="A716" i="1"/>
  <c r="A690" i="1"/>
  <c r="X676" i="1"/>
  <c r="X631" i="1"/>
  <c r="AA77" i="43" l="1"/>
  <c r="X77" i="43"/>
  <c r="W77" i="43"/>
  <c r="V77" i="43"/>
  <c r="U77" i="43"/>
  <c r="S77" i="43"/>
  <c r="R77" i="43"/>
  <c r="Q77" i="43"/>
  <c r="P77" i="43"/>
  <c r="AA76" i="43"/>
  <c r="X76" i="43"/>
  <c r="W76" i="43"/>
  <c r="V76" i="43"/>
  <c r="U76" i="43"/>
  <c r="T76" i="43"/>
  <c r="S76" i="43"/>
  <c r="R76" i="43"/>
  <c r="Q76" i="43"/>
  <c r="P76" i="43"/>
  <c r="AA75" i="43"/>
  <c r="X75" i="43"/>
  <c r="W75" i="43"/>
  <c r="V75" i="43"/>
  <c r="U75" i="43"/>
  <c r="T75" i="43"/>
  <c r="S75" i="43"/>
  <c r="R75" i="43"/>
  <c r="Q75" i="43"/>
  <c r="P75" i="43"/>
  <c r="AA74" i="43"/>
  <c r="X74" i="43"/>
  <c r="W74" i="43"/>
  <c r="V74" i="43"/>
  <c r="U74" i="43"/>
  <c r="T74" i="43"/>
  <c r="S74" i="43"/>
  <c r="R74" i="43"/>
  <c r="Q74" i="43"/>
  <c r="P74" i="43"/>
  <c r="AA73" i="43"/>
  <c r="X73" i="43"/>
  <c r="W73" i="43"/>
  <c r="V73" i="43"/>
  <c r="U73" i="43"/>
  <c r="T73" i="43"/>
  <c r="S73" i="43"/>
  <c r="R73" i="43"/>
  <c r="Q73" i="43"/>
  <c r="P73" i="43"/>
  <c r="AA72" i="43"/>
  <c r="X72" i="43"/>
  <c r="W72" i="43"/>
  <c r="V72" i="43"/>
  <c r="U72" i="43"/>
  <c r="T72" i="43"/>
  <c r="S72" i="43"/>
  <c r="R72" i="43"/>
  <c r="Q72" i="43"/>
  <c r="P72" i="43"/>
  <c r="AA71" i="43"/>
  <c r="X71" i="43"/>
  <c r="W71" i="43"/>
  <c r="V71" i="43"/>
  <c r="U71" i="43"/>
  <c r="T71" i="43"/>
  <c r="S71" i="43"/>
  <c r="R71" i="43"/>
  <c r="Q71" i="43"/>
  <c r="P71" i="43"/>
  <c r="AA70" i="43"/>
  <c r="X70" i="43"/>
  <c r="W70" i="43"/>
  <c r="V70" i="43"/>
  <c r="U70" i="43"/>
  <c r="T70" i="43"/>
  <c r="S70" i="43"/>
  <c r="R70" i="43"/>
  <c r="Q70" i="43"/>
  <c r="P70" i="43"/>
  <c r="AA69" i="43"/>
  <c r="X69" i="43"/>
  <c r="W69" i="43"/>
  <c r="V69" i="43"/>
  <c r="U69" i="43"/>
  <c r="T69" i="43"/>
  <c r="S69" i="43"/>
  <c r="R69" i="43"/>
  <c r="Q69" i="43"/>
  <c r="P69" i="43"/>
  <c r="AA68" i="43"/>
  <c r="X68" i="43"/>
  <c r="W68" i="43"/>
  <c r="V68" i="43"/>
  <c r="U68" i="43"/>
  <c r="T68" i="43"/>
  <c r="S68" i="43"/>
  <c r="R68" i="43"/>
  <c r="Q68" i="43"/>
  <c r="P68" i="43"/>
  <c r="AA67" i="43"/>
  <c r="X67" i="43"/>
  <c r="W67" i="43"/>
  <c r="V67" i="43"/>
  <c r="U67" i="43"/>
  <c r="T67" i="43"/>
  <c r="S67" i="43"/>
  <c r="R67" i="43"/>
  <c r="Q67" i="43"/>
  <c r="P67" i="43"/>
  <c r="AA66" i="43"/>
  <c r="X66" i="43"/>
  <c r="W66" i="43"/>
  <c r="V66" i="43"/>
  <c r="U66" i="43"/>
  <c r="T66" i="43"/>
  <c r="S66" i="43"/>
  <c r="R66" i="43"/>
  <c r="Q66" i="43"/>
  <c r="P66" i="43"/>
  <c r="AA65" i="43"/>
  <c r="X65" i="43"/>
  <c r="W65" i="43"/>
  <c r="V65" i="43"/>
  <c r="U65" i="43"/>
  <c r="T65" i="43"/>
  <c r="S65" i="43"/>
  <c r="R65" i="43"/>
  <c r="Q65" i="43"/>
  <c r="P65" i="43"/>
  <c r="AA64" i="43"/>
  <c r="X64" i="43"/>
  <c r="W64" i="43"/>
  <c r="V64" i="43"/>
  <c r="U64" i="43"/>
  <c r="T64" i="43"/>
  <c r="S64" i="43"/>
  <c r="R64" i="43"/>
  <c r="Q64" i="43"/>
  <c r="P64" i="43"/>
  <c r="AA63" i="43"/>
  <c r="X63" i="43"/>
  <c r="W63" i="43"/>
  <c r="V63" i="43"/>
  <c r="U63" i="43"/>
  <c r="T63" i="43"/>
  <c r="S63" i="43"/>
  <c r="R63" i="43"/>
  <c r="Q63" i="43"/>
  <c r="P63" i="43"/>
  <c r="AA62" i="43"/>
  <c r="X62" i="43"/>
  <c r="W62" i="43"/>
  <c r="V62" i="43"/>
  <c r="U62" i="43"/>
  <c r="T62" i="43"/>
  <c r="S62" i="43"/>
  <c r="R62" i="43"/>
  <c r="Q62" i="43"/>
  <c r="P62" i="43"/>
  <c r="AA61" i="43"/>
  <c r="X61" i="43"/>
  <c r="W61" i="43"/>
  <c r="V61" i="43"/>
  <c r="U61" i="43"/>
  <c r="T61" i="43"/>
  <c r="S61" i="43"/>
  <c r="R61" i="43"/>
  <c r="Q61" i="43"/>
  <c r="P61" i="43"/>
  <c r="AA60" i="43"/>
  <c r="X60" i="43"/>
  <c r="W60" i="43"/>
  <c r="V60" i="43"/>
  <c r="U60" i="43"/>
  <c r="T60" i="43"/>
  <c r="S60" i="43"/>
  <c r="R60" i="43"/>
  <c r="Q60" i="43"/>
  <c r="P60" i="43"/>
  <c r="AA59" i="43"/>
  <c r="X59" i="43"/>
  <c r="W59" i="43"/>
  <c r="V59" i="43"/>
  <c r="U59" i="43"/>
  <c r="T59" i="43"/>
  <c r="S59" i="43"/>
  <c r="R59" i="43"/>
  <c r="Q59" i="43"/>
  <c r="P59" i="43"/>
  <c r="AA58" i="43"/>
  <c r="X58" i="43"/>
  <c r="W58" i="43"/>
  <c r="V58" i="43"/>
  <c r="U58" i="43"/>
  <c r="T58" i="43"/>
  <c r="S58" i="43"/>
  <c r="R58" i="43"/>
  <c r="Q58" i="43"/>
  <c r="P58" i="43"/>
  <c r="AA57" i="43"/>
  <c r="X57" i="43"/>
  <c r="W57" i="43"/>
  <c r="V57" i="43"/>
  <c r="U57" i="43"/>
  <c r="T57" i="43"/>
  <c r="S57" i="43"/>
  <c r="R57" i="43"/>
  <c r="Q57" i="43"/>
  <c r="P57" i="43"/>
  <c r="AA56" i="43"/>
  <c r="X56" i="43"/>
  <c r="W56" i="43"/>
  <c r="V56" i="43"/>
  <c r="U56" i="43"/>
  <c r="T56" i="43"/>
  <c r="S56" i="43"/>
  <c r="R56" i="43"/>
  <c r="Q56" i="43"/>
  <c r="P56" i="43"/>
  <c r="AA55" i="43"/>
  <c r="X55" i="43"/>
  <c r="W55" i="43"/>
  <c r="V55" i="43"/>
  <c r="U55" i="43"/>
  <c r="T55" i="43"/>
  <c r="S55" i="43"/>
  <c r="R55" i="43"/>
  <c r="Q55" i="43"/>
  <c r="P55" i="43"/>
  <c r="AA54" i="43"/>
  <c r="X54" i="43"/>
  <c r="W54" i="43"/>
  <c r="V54" i="43"/>
  <c r="U54" i="43"/>
  <c r="T54" i="43"/>
  <c r="S54" i="43"/>
  <c r="R54" i="43"/>
  <c r="Q54" i="43"/>
  <c r="P54" i="43"/>
  <c r="AA53" i="43"/>
  <c r="X53" i="43"/>
  <c r="W53" i="43"/>
  <c r="V53" i="43"/>
  <c r="U53" i="43"/>
  <c r="T53" i="43"/>
  <c r="S53" i="43"/>
  <c r="R53" i="43"/>
  <c r="Q53" i="43"/>
  <c r="P53" i="43"/>
  <c r="AA52" i="43"/>
  <c r="X52" i="43"/>
  <c r="W52" i="43"/>
  <c r="V52" i="43"/>
  <c r="U52" i="43"/>
  <c r="T52" i="43"/>
  <c r="S52" i="43"/>
  <c r="R52" i="43"/>
  <c r="Q52" i="43"/>
  <c r="P52" i="43"/>
  <c r="AA51" i="43"/>
  <c r="X51" i="43"/>
  <c r="W51" i="43"/>
  <c r="V51" i="43"/>
  <c r="U51" i="43"/>
  <c r="T51" i="43"/>
  <c r="S51" i="43"/>
  <c r="R51" i="43"/>
  <c r="Q51" i="43"/>
  <c r="P51" i="43"/>
  <c r="AA50" i="43"/>
  <c r="X50" i="43"/>
  <c r="W50" i="43"/>
  <c r="V50" i="43"/>
  <c r="U50" i="43"/>
  <c r="T50" i="43"/>
  <c r="S50" i="43"/>
  <c r="R50" i="43"/>
  <c r="Q50" i="43"/>
  <c r="P50" i="43"/>
  <c r="AA49" i="43"/>
  <c r="X49" i="43"/>
  <c r="W49" i="43"/>
  <c r="V49" i="43"/>
  <c r="U49" i="43"/>
  <c r="T49" i="43"/>
  <c r="S49" i="43"/>
  <c r="R49" i="43"/>
  <c r="Q49" i="43"/>
  <c r="P49" i="43"/>
  <c r="AA48" i="43"/>
  <c r="X48" i="43"/>
  <c r="W48" i="43"/>
  <c r="V48" i="43"/>
  <c r="U48" i="43"/>
  <c r="T48" i="43"/>
  <c r="S48" i="43"/>
  <c r="R48" i="43"/>
  <c r="Q48" i="43"/>
  <c r="P48" i="43"/>
  <c r="AA47" i="43"/>
  <c r="X47" i="43"/>
  <c r="W47" i="43"/>
  <c r="V47" i="43"/>
  <c r="U47" i="43"/>
  <c r="T47" i="43"/>
  <c r="S47" i="43"/>
  <c r="R47" i="43"/>
  <c r="Q47" i="43"/>
  <c r="P47" i="43"/>
  <c r="AA46" i="43"/>
  <c r="X46" i="43"/>
  <c r="W46" i="43"/>
  <c r="V46" i="43"/>
  <c r="U46" i="43"/>
  <c r="T46" i="43"/>
  <c r="S46" i="43"/>
  <c r="R46" i="43"/>
  <c r="Q46" i="43"/>
  <c r="P46" i="43"/>
  <c r="AA45" i="43"/>
  <c r="X45" i="43"/>
  <c r="W45" i="43"/>
  <c r="V45" i="43"/>
  <c r="U45" i="43"/>
  <c r="T45" i="43"/>
  <c r="S45" i="43"/>
  <c r="R45" i="43"/>
  <c r="Q45" i="43"/>
  <c r="P45" i="43"/>
  <c r="T77" i="43" l="1"/>
  <c r="A11" i="3"/>
  <c r="W676" i="1" l="1"/>
  <c r="V676" i="1"/>
  <c r="A645" i="1" l="1"/>
  <c r="AG221" i="25" l="1"/>
  <c r="X633" i="1" s="1"/>
  <c r="A670" i="1" s="1"/>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2" i="25"/>
  <c r="AG213" i="25"/>
  <c r="AG214" i="25"/>
  <c r="AG216" i="25"/>
  <c r="AG217" i="25"/>
  <c r="AG218" i="25"/>
  <c r="AG219" i="25"/>
  <c r="AG220" i="25"/>
  <c r="AG189" i="25"/>
  <c r="AF221" i="25"/>
  <c r="AF190" i="25"/>
  <c r="AF191" i="25"/>
  <c r="AF192" i="25"/>
  <c r="AF193" i="25"/>
  <c r="AF194" i="25"/>
  <c r="AF195" i="25"/>
  <c r="AF196" i="25"/>
  <c r="AF197" i="25"/>
  <c r="AF198" i="25"/>
  <c r="AF199" i="25"/>
  <c r="AF200" i="25"/>
  <c r="AF201" i="25"/>
  <c r="AF202" i="25"/>
  <c r="AF203" i="25"/>
  <c r="AF204" i="25"/>
  <c r="AF205" i="25"/>
  <c r="AF206" i="25"/>
  <c r="AF207" i="25"/>
  <c r="AF208" i="25"/>
  <c r="AF209" i="25"/>
  <c r="AF210" i="25"/>
  <c r="AF211" i="25"/>
  <c r="AF212" i="25"/>
  <c r="AF213" i="25"/>
  <c r="AF214" i="25"/>
  <c r="AF215" i="25"/>
  <c r="AF216" i="25"/>
  <c r="AF217" i="25"/>
  <c r="AF218" i="25"/>
  <c r="AF219" i="25"/>
  <c r="AF220" i="25"/>
  <c r="AF189" i="25"/>
  <c r="X632" i="1" l="1"/>
  <c r="X635" i="1"/>
  <c r="X634" i="1"/>
  <c r="W632" i="1"/>
  <c r="M20" i="25"/>
  <c r="O541" i="1" s="1"/>
  <c r="A556" i="1" s="1"/>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L103" i="25"/>
  <c r="M103" i="25"/>
  <c r="L104" i="25"/>
  <c r="M104" i="25"/>
  <c r="L105" i="25"/>
  <c r="M105" i="25"/>
  <c r="L106" i="25"/>
  <c r="M106" i="25"/>
  <c r="L107" i="25"/>
  <c r="M107" i="25"/>
  <c r="L108" i="25"/>
  <c r="M108" i="25"/>
  <c r="L109" i="25"/>
  <c r="M109" i="25"/>
  <c r="L110" i="25"/>
  <c r="M110" i="25"/>
  <c r="L111" i="25"/>
  <c r="M111" i="25"/>
  <c r="L112" i="25"/>
  <c r="M112" i="25"/>
  <c r="L113" i="25"/>
  <c r="M113" i="25"/>
  <c r="L114" i="25"/>
  <c r="M114" i="25"/>
  <c r="L115" i="25"/>
  <c r="M115" i="25"/>
  <c r="L116" i="25"/>
  <c r="M116" i="25"/>
  <c r="L117" i="25"/>
  <c r="M117" i="25"/>
  <c r="L118" i="25"/>
  <c r="M118" i="25"/>
  <c r="L119" i="25"/>
  <c r="M119" i="25"/>
  <c r="L120" i="25"/>
  <c r="M120" i="25"/>
  <c r="L121" i="25"/>
  <c r="M121" i="25"/>
  <c r="L122" i="25"/>
  <c r="M122" i="25"/>
  <c r="L123" i="25"/>
  <c r="M123" i="25"/>
  <c r="L124" i="25"/>
  <c r="M124" i="25"/>
  <c r="L125" i="25"/>
  <c r="M125" i="25"/>
  <c r="L126" i="25"/>
  <c r="M126" i="25"/>
  <c r="L127" i="25"/>
  <c r="M127" i="25"/>
  <c r="L128" i="25"/>
  <c r="M128" i="25"/>
  <c r="L129" i="25"/>
  <c r="M129" i="25"/>
  <c r="L130" i="25"/>
  <c r="M130" i="25"/>
  <c r="L131" i="25"/>
  <c r="M131" i="25"/>
  <c r="L132" i="25"/>
  <c r="M132" i="25"/>
  <c r="L133" i="25"/>
  <c r="M133" i="25"/>
  <c r="L134" i="25"/>
  <c r="M134" i="25"/>
  <c r="L135" i="25"/>
  <c r="M135" i="25"/>
  <c r="M271" i="25"/>
  <c r="P676" i="1" s="1"/>
  <c r="M272" i="25"/>
  <c r="M273" i="25"/>
  <c r="M274" i="25"/>
  <c r="M275" i="25"/>
  <c r="M276" i="25"/>
  <c r="M277" i="25"/>
  <c r="M278" i="25"/>
  <c r="M279" i="25"/>
  <c r="M280" i="25"/>
  <c r="M281" i="25"/>
  <c r="M282" i="25"/>
  <c r="M283" i="25"/>
  <c r="M284" i="25"/>
  <c r="M285" i="25"/>
  <c r="M286" i="25"/>
  <c r="M287" i="25"/>
  <c r="M288" i="25"/>
  <c r="M289" i="25"/>
  <c r="M290" i="25"/>
  <c r="M291" i="25"/>
  <c r="M292" i="25"/>
  <c r="M293" i="25"/>
  <c r="M294" i="25"/>
  <c r="M295" i="25"/>
  <c r="M296" i="25"/>
  <c r="M297" i="25"/>
  <c r="M298" i="25"/>
  <c r="M299" i="25"/>
  <c r="M300" i="25"/>
  <c r="M301" i="25"/>
  <c r="M302" i="25"/>
  <c r="M303" i="25"/>
  <c r="N189" i="25"/>
  <c r="X189" i="25" s="1"/>
  <c r="O189" i="25"/>
  <c r="Y189" i="25" s="1"/>
  <c r="P189" i="25"/>
  <c r="Z189" i="25" s="1"/>
  <c r="Q189" i="25"/>
  <c r="AA189" i="25" s="1"/>
  <c r="R189" i="25"/>
  <c r="AB189" i="25" s="1"/>
  <c r="S189" i="25"/>
  <c r="AC189" i="25" s="1"/>
  <c r="T189" i="25"/>
  <c r="AD189" i="25" s="1"/>
  <c r="U189" i="25"/>
  <c r="AE189" i="25" s="1"/>
  <c r="N190" i="25"/>
  <c r="X190" i="25" s="1"/>
  <c r="O190" i="25"/>
  <c r="Y190" i="25" s="1"/>
  <c r="P190" i="25"/>
  <c r="Z190" i="25" s="1"/>
  <c r="Q190" i="25"/>
  <c r="AA190" i="25" s="1"/>
  <c r="R190" i="25"/>
  <c r="AB190" i="25" s="1"/>
  <c r="S190" i="25"/>
  <c r="AC190" i="25" s="1"/>
  <c r="T190" i="25"/>
  <c r="AD190" i="25" s="1"/>
  <c r="U190" i="25"/>
  <c r="AE190" i="25" s="1"/>
  <c r="N191" i="25"/>
  <c r="X191" i="25" s="1"/>
  <c r="O191" i="25"/>
  <c r="Y191" i="25" s="1"/>
  <c r="P191" i="25"/>
  <c r="Z191" i="25" s="1"/>
  <c r="Q191" i="25"/>
  <c r="AA191" i="25" s="1"/>
  <c r="R191" i="25"/>
  <c r="AB191" i="25" s="1"/>
  <c r="S191" i="25"/>
  <c r="AC191" i="25" s="1"/>
  <c r="T191" i="25"/>
  <c r="AD191" i="25" s="1"/>
  <c r="U191" i="25"/>
  <c r="AE191" i="25" s="1"/>
  <c r="N192" i="25"/>
  <c r="X192" i="25" s="1"/>
  <c r="O192" i="25"/>
  <c r="Y192" i="25" s="1"/>
  <c r="P192" i="25"/>
  <c r="Z192" i="25" s="1"/>
  <c r="Q192" i="25"/>
  <c r="AA192" i="25" s="1"/>
  <c r="R192" i="25"/>
  <c r="AB192" i="25" s="1"/>
  <c r="S192" i="25"/>
  <c r="AC192" i="25" s="1"/>
  <c r="T192" i="25"/>
  <c r="AD192" i="25" s="1"/>
  <c r="U192" i="25"/>
  <c r="AE192" i="25" s="1"/>
  <c r="N193" i="25"/>
  <c r="X193" i="25" s="1"/>
  <c r="O193" i="25"/>
  <c r="Y193" i="25" s="1"/>
  <c r="P193" i="25"/>
  <c r="Z193" i="25" s="1"/>
  <c r="Q193" i="25"/>
  <c r="AA193" i="25" s="1"/>
  <c r="R193" i="25"/>
  <c r="AB193" i="25" s="1"/>
  <c r="S193" i="25"/>
  <c r="AC193" i="25" s="1"/>
  <c r="T193" i="25"/>
  <c r="AD193" i="25" s="1"/>
  <c r="U193" i="25"/>
  <c r="AE193" i="25" s="1"/>
  <c r="N194" i="25"/>
  <c r="X194" i="25" s="1"/>
  <c r="O194" i="25"/>
  <c r="Y194" i="25" s="1"/>
  <c r="P194" i="25"/>
  <c r="Z194" i="25" s="1"/>
  <c r="Q194" i="25"/>
  <c r="AA194" i="25" s="1"/>
  <c r="R194" i="25"/>
  <c r="AB194" i="25" s="1"/>
  <c r="S194" i="25"/>
  <c r="AC194" i="25" s="1"/>
  <c r="T194" i="25"/>
  <c r="AD194" i="25" s="1"/>
  <c r="U194" i="25"/>
  <c r="AE194" i="25" s="1"/>
  <c r="N195" i="25"/>
  <c r="X195" i="25" s="1"/>
  <c r="O195" i="25"/>
  <c r="Y195" i="25" s="1"/>
  <c r="P195" i="25"/>
  <c r="Z195" i="25" s="1"/>
  <c r="Q195" i="25"/>
  <c r="AA195" i="25" s="1"/>
  <c r="R195" i="25"/>
  <c r="AB195" i="25" s="1"/>
  <c r="S195" i="25"/>
  <c r="AC195" i="25" s="1"/>
  <c r="T195" i="25"/>
  <c r="AD195" i="25" s="1"/>
  <c r="U195" i="25"/>
  <c r="AE195" i="25" s="1"/>
  <c r="N196" i="25"/>
  <c r="X196" i="25" s="1"/>
  <c r="O196" i="25"/>
  <c r="Y196" i="25" s="1"/>
  <c r="P196" i="25"/>
  <c r="Z196" i="25" s="1"/>
  <c r="Q196" i="25"/>
  <c r="AA196" i="25" s="1"/>
  <c r="R196" i="25"/>
  <c r="AB196" i="25" s="1"/>
  <c r="S196" i="25"/>
  <c r="AC196" i="25" s="1"/>
  <c r="T196" i="25"/>
  <c r="AD196" i="25" s="1"/>
  <c r="U196" i="25"/>
  <c r="AE196" i="25" s="1"/>
  <c r="N197" i="25"/>
  <c r="X197" i="25" s="1"/>
  <c r="O197" i="25"/>
  <c r="Y197" i="25" s="1"/>
  <c r="P197" i="25"/>
  <c r="Z197" i="25" s="1"/>
  <c r="Q197" i="25"/>
  <c r="AA197" i="25" s="1"/>
  <c r="R197" i="25"/>
  <c r="AB197" i="25" s="1"/>
  <c r="S197" i="25"/>
  <c r="AC197" i="25" s="1"/>
  <c r="T197" i="25"/>
  <c r="AD197" i="25" s="1"/>
  <c r="U197" i="25"/>
  <c r="AE197" i="25" s="1"/>
  <c r="N198" i="25"/>
  <c r="X198" i="25" s="1"/>
  <c r="O198" i="25"/>
  <c r="Y198" i="25" s="1"/>
  <c r="P198" i="25"/>
  <c r="Z198" i="25" s="1"/>
  <c r="Q198" i="25"/>
  <c r="AA198" i="25" s="1"/>
  <c r="R198" i="25"/>
  <c r="AB198" i="25" s="1"/>
  <c r="S198" i="25"/>
  <c r="AC198" i="25" s="1"/>
  <c r="T198" i="25"/>
  <c r="AD198" i="25" s="1"/>
  <c r="U198" i="25"/>
  <c r="AE198" i="25" s="1"/>
  <c r="N199" i="25"/>
  <c r="X199" i="25" s="1"/>
  <c r="O199" i="25"/>
  <c r="Y199" i="25" s="1"/>
  <c r="P199" i="25"/>
  <c r="Z199" i="25" s="1"/>
  <c r="Q199" i="25"/>
  <c r="AA199" i="25" s="1"/>
  <c r="R199" i="25"/>
  <c r="AB199" i="25" s="1"/>
  <c r="S199" i="25"/>
  <c r="AC199" i="25" s="1"/>
  <c r="T199" i="25"/>
  <c r="AD199" i="25" s="1"/>
  <c r="U199" i="25"/>
  <c r="AE199" i="25" s="1"/>
  <c r="N200" i="25"/>
  <c r="X200" i="25" s="1"/>
  <c r="O200" i="25"/>
  <c r="Y200" i="25" s="1"/>
  <c r="P200" i="25"/>
  <c r="Z200" i="25" s="1"/>
  <c r="Q200" i="25"/>
  <c r="AA200" i="25" s="1"/>
  <c r="R200" i="25"/>
  <c r="AB200" i="25" s="1"/>
  <c r="S200" i="25"/>
  <c r="AC200" i="25" s="1"/>
  <c r="T200" i="25"/>
  <c r="AD200" i="25" s="1"/>
  <c r="U200" i="25"/>
  <c r="AE200" i="25" s="1"/>
  <c r="N201" i="25"/>
  <c r="X201" i="25" s="1"/>
  <c r="O201" i="25"/>
  <c r="Y201" i="25" s="1"/>
  <c r="P201" i="25"/>
  <c r="Z201" i="25" s="1"/>
  <c r="Q201" i="25"/>
  <c r="AA201" i="25" s="1"/>
  <c r="R201" i="25"/>
  <c r="AB201" i="25" s="1"/>
  <c r="S201" i="25"/>
  <c r="AC201" i="25" s="1"/>
  <c r="T201" i="25"/>
  <c r="AD201" i="25" s="1"/>
  <c r="U201" i="25"/>
  <c r="AE201" i="25" s="1"/>
  <c r="N202" i="25"/>
  <c r="X202" i="25" s="1"/>
  <c r="O202" i="25"/>
  <c r="Y202" i="25" s="1"/>
  <c r="P202" i="25"/>
  <c r="Z202" i="25" s="1"/>
  <c r="Q202" i="25"/>
  <c r="AA202" i="25" s="1"/>
  <c r="R202" i="25"/>
  <c r="AB202" i="25" s="1"/>
  <c r="S202" i="25"/>
  <c r="AC202" i="25" s="1"/>
  <c r="T202" i="25"/>
  <c r="AD202" i="25" s="1"/>
  <c r="U202" i="25"/>
  <c r="AE202" i="25" s="1"/>
  <c r="N203" i="25"/>
  <c r="X203" i="25" s="1"/>
  <c r="O203" i="25"/>
  <c r="Y203" i="25" s="1"/>
  <c r="P203" i="25"/>
  <c r="Z203" i="25" s="1"/>
  <c r="Q203" i="25"/>
  <c r="AA203" i="25" s="1"/>
  <c r="R203" i="25"/>
  <c r="AB203" i="25" s="1"/>
  <c r="S203" i="25"/>
  <c r="AC203" i="25" s="1"/>
  <c r="T203" i="25"/>
  <c r="AD203" i="25" s="1"/>
  <c r="U203" i="25"/>
  <c r="AE203" i="25" s="1"/>
  <c r="N204" i="25"/>
  <c r="X204" i="25" s="1"/>
  <c r="O204" i="25"/>
  <c r="Y204" i="25" s="1"/>
  <c r="P204" i="25"/>
  <c r="Z204" i="25" s="1"/>
  <c r="Q204" i="25"/>
  <c r="AA204" i="25" s="1"/>
  <c r="R204" i="25"/>
  <c r="AB204" i="25" s="1"/>
  <c r="S204" i="25"/>
  <c r="AC204" i="25" s="1"/>
  <c r="T204" i="25"/>
  <c r="AD204" i="25" s="1"/>
  <c r="U204" i="25"/>
  <c r="AE204" i="25" s="1"/>
  <c r="N205" i="25"/>
  <c r="X205" i="25" s="1"/>
  <c r="O205" i="25"/>
  <c r="Y205" i="25" s="1"/>
  <c r="P205" i="25"/>
  <c r="Z205" i="25" s="1"/>
  <c r="Q205" i="25"/>
  <c r="AA205" i="25" s="1"/>
  <c r="R205" i="25"/>
  <c r="AB205" i="25" s="1"/>
  <c r="S205" i="25"/>
  <c r="AC205" i="25" s="1"/>
  <c r="T205" i="25"/>
  <c r="AD205" i="25" s="1"/>
  <c r="U205" i="25"/>
  <c r="AE205" i="25" s="1"/>
  <c r="N206" i="25"/>
  <c r="X206" i="25" s="1"/>
  <c r="O206" i="25"/>
  <c r="Y206" i="25" s="1"/>
  <c r="P206" i="25"/>
  <c r="Z206" i="25" s="1"/>
  <c r="Q206" i="25"/>
  <c r="AA206" i="25" s="1"/>
  <c r="R206" i="25"/>
  <c r="AB206" i="25" s="1"/>
  <c r="S206" i="25"/>
  <c r="AC206" i="25" s="1"/>
  <c r="T206" i="25"/>
  <c r="AD206" i="25" s="1"/>
  <c r="U206" i="25"/>
  <c r="AE206" i="25" s="1"/>
  <c r="N207" i="25"/>
  <c r="X207" i="25" s="1"/>
  <c r="O207" i="25"/>
  <c r="Y207" i="25" s="1"/>
  <c r="P207" i="25"/>
  <c r="Z207" i="25" s="1"/>
  <c r="Q207" i="25"/>
  <c r="AA207" i="25" s="1"/>
  <c r="R207" i="25"/>
  <c r="AB207" i="25" s="1"/>
  <c r="S207" i="25"/>
  <c r="AC207" i="25" s="1"/>
  <c r="T207" i="25"/>
  <c r="AD207" i="25" s="1"/>
  <c r="U207" i="25"/>
  <c r="AE207" i="25" s="1"/>
  <c r="N208" i="25"/>
  <c r="X208" i="25" s="1"/>
  <c r="O208" i="25"/>
  <c r="Y208" i="25" s="1"/>
  <c r="P208" i="25"/>
  <c r="Z208" i="25" s="1"/>
  <c r="Q208" i="25"/>
  <c r="AA208" i="25" s="1"/>
  <c r="R208" i="25"/>
  <c r="AB208" i="25" s="1"/>
  <c r="S208" i="25"/>
  <c r="AC208" i="25" s="1"/>
  <c r="T208" i="25"/>
  <c r="AD208" i="25" s="1"/>
  <c r="U208" i="25"/>
  <c r="AE208" i="25" s="1"/>
  <c r="N209" i="25"/>
  <c r="X209" i="25" s="1"/>
  <c r="O209" i="25"/>
  <c r="Y209" i="25" s="1"/>
  <c r="P209" i="25"/>
  <c r="Z209" i="25" s="1"/>
  <c r="Q209" i="25"/>
  <c r="AA209" i="25" s="1"/>
  <c r="R209" i="25"/>
  <c r="AB209" i="25" s="1"/>
  <c r="S209" i="25"/>
  <c r="AC209" i="25" s="1"/>
  <c r="T209" i="25"/>
  <c r="AD209" i="25" s="1"/>
  <c r="U209" i="25"/>
  <c r="AE209" i="25" s="1"/>
  <c r="N210" i="25"/>
  <c r="X210" i="25" s="1"/>
  <c r="O210" i="25"/>
  <c r="Y210" i="25" s="1"/>
  <c r="P210" i="25"/>
  <c r="Z210" i="25" s="1"/>
  <c r="Q210" i="25"/>
  <c r="AA210" i="25" s="1"/>
  <c r="R210" i="25"/>
  <c r="AB210" i="25" s="1"/>
  <c r="S210" i="25"/>
  <c r="AC210" i="25" s="1"/>
  <c r="T210" i="25"/>
  <c r="AD210" i="25" s="1"/>
  <c r="U210" i="25"/>
  <c r="AE210" i="25" s="1"/>
  <c r="N211" i="25"/>
  <c r="X211" i="25" s="1"/>
  <c r="O211" i="25"/>
  <c r="Y211" i="25" s="1"/>
  <c r="P211" i="25"/>
  <c r="Z211" i="25" s="1"/>
  <c r="Q211" i="25"/>
  <c r="AA211" i="25" s="1"/>
  <c r="R211" i="25"/>
  <c r="AB211" i="25" s="1"/>
  <c r="S211" i="25"/>
  <c r="AC211" i="25" s="1"/>
  <c r="T211" i="25"/>
  <c r="AD211" i="25" s="1"/>
  <c r="U211" i="25"/>
  <c r="AE211" i="25" s="1"/>
  <c r="N212" i="25"/>
  <c r="X212" i="25" s="1"/>
  <c r="O212" i="25"/>
  <c r="Y212" i="25" s="1"/>
  <c r="P212" i="25"/>
  <c r="Z212" i="25" s="1"/>
  <c r="Q212" i="25"/>
  <c r="AA212" i="25" s="1"/>
  <c r="R212" i="25"/>
  <c r="AB212" i="25" s="1"/>
  <c r="S212" i="25"/>
  <c r="AC212" i="25" s="1"/>
  <c r="T212" i="25"/>
  <c r="AD212" i="25" s="1"/>
  <c r="U212" i="25"/>
  <c r="AE212" i="25" s="1"/>
  <c r="N213" i="25"/>
  <c r="X213" i="25" s="1"/>
  <c r="O213" i="25"/>
  <c r="Y213" i="25" s="1"/>
  <c r="P213" i="25"/>
  <c r="Z213" i="25" s="1"/>
  <c r="Q213" i="25"/>
  <c r="AA213" i="25" s="1"/>
  <c r="R213" i="25"/>
  <c r="AB213" i="25" s="1"/>
  <c r="S213" i="25"/>
  <c r="AC213" i="25" s="1"/>
  <c r="T213" i="25"/>
  <c r="AD213" i="25" s="1"/>
  <c r="U213" i="25"/>
  <c r="AE213" i="25" s="1"/>
  <c r="N214" i="25"/>
  <c r="X214" i="25" s="1"/>
  <c r="O214" i="25"/>
  <c r="Y214" i="25" s="1"/>
  <c r="P214" i="25"/>
  <c r="Z214" i="25" s="1"/>
  <c r="Q214" i="25"/>
  <c r="AA214" i="25" s="1"/>
  <c r="R214" i="25"/>
  <c r="AB214" i="25" s="1"/>
  <c r="S214" i="25"/>
  <c r="AC214" i="25" s="1"/>
  <c r="T214" i="25"/>
  <c r="AD214" i="25" s="1"/>
  <c r="U214" i="25"/>
  <c r="AE214" i="25" s="1"/>
  <c r="N215" i="25"/>
  <c r="X215" i="25" s="1"/>
  <c r="O215" i="25"/>
  <c r="Y215" i="25" s="1"/>
  <c r="P215" i="25"/>
  <c r="Z215" i="25" s="1"/>
  <c r="Q215" i="25"/>
  <c r="AA215" i="25" s="1"/>
  <c r="R215" i="25"/>
  <c r="AB215" i="25" s="1"/>
  <c r="S215" i="25"/>
  <c r="AC215" i="25" s="1"/>
  <c r="T215" i="25"/>
  <c r="AD215" i="25" s="1"/>
  <c r="U215" i="25"/>
  <c r="AE215" i="25" s="1"/>
  <c r="N216" i="25"/>
  <c r="X216" i="25" s="1"/>
  <c r="O216" i="25"/>
  <c r="Y216" i="25" s="1"/>
  <c r="P216" i="25"/>
  <c r="Z216" i="25" s="1"/>
  <c r="Q216" i="25"/>
  <c r="AA216" i="25" s="1"/>
  <c r="R216" i="25"/>
  <c r="AB216" i="25" s="1"/>
  <c r="S216" i="25"/>
  <c r="AC216" i="25" s="1"/>
  <c r="T216" i="25"/>
  <c r="AD216" i="25" s="1"/>
  <c r="U216" i="25"/>
  <c r="AE216" i="25" s="1"/>
  <c r="N217" i="25"/>
  <c r="X217" i="25" s="1"/>
  <c r="O217" i="25"/>
  <c r="Y217" i="25" s="1"/>
  <c r="P217" i="25"/>
  <c r="Z217" i="25" s="1"/>
  <c r="Q217" i="25"/>
  <c r="AA217" i="25" s="1"/>
  <c r="R217" i="25"/>
  <c r="AB217" i="25" s="1"/>
  <c r="S217" i="25"/>
  <c r="AC217" i="25" s="1"/>
  <c r="T217" i="25"/>
  <c r="AD217" i="25" s="1"/>
  <c r="U217" i="25"/>
  <c r="AE217" i="25" s="1"/>
  <c r="N218" i="25"/>
  <c r="X218" i="25" s="1"/>
  <c r="O218" i="25"/>
  <c r="Y218" i="25" s="1"/>
  <c r="P218" i="25"/>
  <c r="Z218" i="25" s="1"/>
  <c r="Q218" i="25"/>
  <c r="AA218" i="25" s="1"/>
  <c r="R218" i="25"/>
  <c r="AB218" i="25" s="1"/>
  <c r="S218" i="25"/>
  <c r="AC218" i="25" s="1"/>
  <c r="T218" i="25"/>
  <c r="AD218" i="25" s="1"/>
  <c r="U218" i="25"/>
  <c r="AE218" i="25" s="1"/>
  <c r="N219" i="25"/>
  <c r="X219" i="25" s="1"/>
  <c r="O219" i="25"/>
  <c r="Y219" i="25" s="1"/>
  <c r="P219" i="25"/>
  <c r="Z219" i="25" s="1"/>
  <c r="Q219" i="25"/>
  <c r="AA219" i="25" s="1"/>
  <c r="R219" i="25"/>
  <c r="AB219" i="25" s="1"/>
  <c r="S219" i="25"/>
  <c r="AC219" i="25" s="1"/>
  <c r="T219" i="25"/>
  <c r="AD219" i="25" s="1"/>
  <c r="U219" i="25"/>
  <c r="AE219" i="25" s="1"/>
  <c r="N220" i="25"/>
  <c r="X220" i="25" s="1"/>
  <c r="O220" i="25"/>
  <c r="Y220" i="25" s="1"/>
  <c r="P220" i="25"/>
  <c r="Z220" i="25" s="1"/>
  <c r="Q220" i="25"/>
  <c r="AA220" i="25" s="1"/>
  <c r="R220" i="25"/>
  <c r="AB220" i="25" s="1"/>
  <c r="S220" i="25"/>
  <c r="AC220" i="25" s="1"/>
  <c r="T220" i="25"/>
  <c r="AD220" i="25" s="1"/>
  <c r="U220" i="25"/>
  <c r="AE220" i="25" s="1"/>
  <c r="N221" i="25"/>
  <c r="X221" i="25" s="1"/>
  <c r="O221" i="25"/>
  <c r="Y221" i="25" s="1"/>
  <c r="P221" i="25"/>
  <c r="Z221" i="25" s="1"/>
  <c r="Q221" i="25"/>
  <c r="AA221" i="25" s="1"/>
  <c r="R221" i="25"/>
  <c r="AB221" i="25" s="1"/>
  <c r="S221" i="25"/>
  <c r="AC221" i="25" s="1"/>
  <c r="T221" i="25"/>
  <c r="AD221" i="25" s="1"/>
  <c r="U221" i="25"/>
  <c r="AE221" i="25" s="1"/>
  <c r="A599" i="1"/>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03" i="25"/>
  <c r="S135" i="25"/>
  <c r="R135"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03" i="25"/>
  <c r="V585" i="1" s="1"/>
  <c r="U20" i="25"/>
  <c r="U52" i="25"/>
  <c r="U21" i="25"/>
  <c r="U22" i="25"/>
  <c r="U23" i="25"/>
  <c r="U24" i="25"/>
  <c r="U25" i="25"/>
  <c r="U26" i="25"/>
  <c r="U27" i="25"/>
  <c r="U28" i="25"/>
  <c r="U29" i="25"/>
  <c r="U30" i="25"/>
  <c r="U31" i="25"/>
  <c r="U32" i="25"/>
  <c r="U33" i="25"/>
  <c r="U34" i="25"/>
  <c r="U35" i="25"/>
  <c r="U36" i="25"/>
  <c r="U37" i="25"/>
  <c r="U38" i="25"/>
  <c r="U39" i="25"/>
  <c r="U40" i="25"/>
  <c r="U41" i="25"/>
  <c r="U42" i="25"/>
  <c r="U43" i="25"/>
  <c r="U44" i="25"/>
  <c r="U45" i="25"/>
  <c r="U46" i="25"/>
  <c r="U47" i="25"/>
  <c r="U48" i="25"/>
  <c r="U49" i="25"/>
  <c r="U50" i="25"/>
  <c r="U51"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50" i="25"/>
  <c r="T51" i="25"/>
  <c r="T52" i="25"/>
  <c r="T20" i="25"/>
  <c r="S52"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20" i="25"/>
  <c r="U541" i="1" s="1"/>
  <c r="R52"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20" i="25"/>
  <c r="T541" i="1" s="1"/>
  <c r="Q52"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20" i="25"/>
  <c r="S541" i="1" s="1"/>
  <c r="P5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21" i="25"/>
  <c r="P22" i="25"/>
  <c r="P20" i="25"/>
  <c r="R541" i="1" s="1"/>
  <c r="O52"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20" i="25"/>
  <c r="Q541" i="1" s="1"/>
  <c r="N52"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20" i="25"/>
  <c r="P541" i="1" s="1"/>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45" i="42"/>
  <c r="F77" i="42"/>
  <c r="R632" i="1" l="1"/>
  <c r="W541" i="1"/>
  <c r="W543" i="1"/>
  <c r="W544" i="1"/>
  <c r="V541" i="1"/>
  <c r="V543" i="1"/>
  <c r="V544" i="1"/>
  <c r="D150" i="25"/>
  <c r="D166" i="25"/>
  <c r="D158" i="25"/>
  <c r="D147" i="25"/>
  <c r="D151" i="25"/>
  <c r="D155" i="25"/>
  <c r="D159" i="25"/>
  <c r="D163" i="25"/>
  <c r="D167" i="25"/>
  <c r="D171" i="25"/>
  <c r="D175" i="25"/>
  <c r="D162" i="25"/>
  <c r="D174" i="25"/>
  <c r="W586" i="1"/>
  <c r="A624" i="1" s="1"/>
  <c r="D148" i="25"/>
  <c r="D152" i="25"/>
  <c r="D156" i="25"/>
  <c r="D160" i="25"/>
  <c r="D164" i="25"/>
  <c r="D168" i="25"/>
  <c r="D172" i="25"/>
  <c r="D176" i="25"/>
  <c r="D149" i="25"/>
  <c r="D153" i="25"/>
  <c r="D157" i="25"/>
  <c r="D161" i="25"/>
  <c r="D165" i="25"/>
  <c r="D169" i="25"/>
  <c r="D173" i="25"/>
  <c r="D145" i="25"/>
  <c r="D146" i="25"/>
  <c r="D154" i="25"/>
  <c r="D170" i="25"/>
  <c r="W585" i="1"/>
  <c r="A623" i="1" s="1"/>
  <c r="W587" i="1"/>
  <c r="W588" i="1"/>
  <c r="S632" i="1"/>
  <c r="O632" i="1"/>
  <c r="A646" i="1" s="1"/>
  <c r="U632" i="1"/>
  <c r="Q632" i="1"/>
  <c r="T632" i="1"/>
  <c r="V632" i="1"/>
  <c r="P632" i="1"/>
  <c r="N261" i="26" l="1"/>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29" i="26"/>
  <c r="M261" i="26"/>
  <c r="M230" i="26"/>
  <c r="M231" i="26"/>
  <c r="M232" i="26"/>
  <c r="M233" i="26"/>
  <c r="M234" i="26"/>
  <c r="M235" i="26"/>
  <c r="M236" i="26"/>
  <c r="M237" i="26"/>
  <c r="M238" i="26"/>
  <c r="M239" i="26"/>
  <c r="M240" i="26"/>
  <c r="M241" i="26"/>
  <c r="M242" i="26"/>
  <c r="M243" i="26"/>
  <c r="M244" i="26"/>
  <c r="M245" i="26"/>
  <c r="M246" i="26"/>
  <c r="M247" i="26"/>
  <c r="M248" i="26"/>
  <c r="M249" i="26"/>
  <c r="M250" i="26"/>
  <c r="M251" i="26"/>
  <c r="M252" i="26"/>
  <c r="M253" i="26"/>
  <c r="M254" i="26"/>
  <c r="M255" i="26"/>
  <c r="M256" i="26"/>
  <c r="M257" i="26"/>
  <c r="M258" i="26"/>
  <c r="M259" i="26"/>
  <c r="M260" i="26"/>
  <c r="M229" i="26"/>
  <c r="L261"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29" i="26"/>
  <c r="K261"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254" i="26"/>
  <c r="K255" i="26"/>
  <c r="K256" i="26"/>
  <c r="K257" i="26"/>
  <c r="K258" i="26"/>
  <c r="K259" i="26"/>
  <c r="K260" i="26"/>
  <c r="K229" i="26"/>
  <c r="J261"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29" i="26"/>
  <c r="I261" i="26"/>
  <c r="I232" i="26"/>
  <c r="I233" i="26"/>
  <c r="I234" i="26"/>
  <c r="I235" i="26"/>
  <c r="I236" i="26"/>
  <c r="I237" i="26"/>
  <c r="I238" i="26"/>
  <c r="I239" i="26"/>
  <c r="I240" i="26"/>
  <c r="I241" i="26"/>
  <c r="I242" i="26"/>
  <c r="I243" i="26"/>
  <c r="I244" i="26"/>
  <c r="I245" i="26"/>
  <c r="I246" i="26"/>
  <c r="I247" i="26"/>
  <c r="I248" i="26"/>
  <c r="I249" i="26"/>
  <c r="I250" i="26"/>
  <c r="I251" i="26"/>
  <c r="I252" i="26"/>
  <c r="I253" i="26"/>
  <c r="I254" i="26"/>
  <c r="I255" i="26"/>
  <c r="I256" i="26"/>
  <c r="I257" i="26"/>
  <c r="I258" i="26"/>
  <c r="I259" i="26"/>
  <c r="I260" i="26"/>
  <c r="I230" i="26"/>
  <c r="I231" i="26"/>
  <c r="I229" i="26"/>
  <c r="M213" i="26" l="1"/>
  <c r="M182" i="26"/>
  <c r="M183" i="26"/>
  <c r="M184" i="26"/>
  <c r="M185" i="26"/>
  <c r="M186" i="26"/>
  <c r="M187" i="26"/>
  <c r="M188" i="26"/>
  <c r="M189" i="26"/>
  <c r="M190" i="26"/>
  <c r="M191" i="26"/>
  <c r="M192" i="26"/>
  <c r="M193" i="26"/>
  <c r="M194" i="26"/>
  <c r="M195" i="26"/>
  <c r="M196" i="26"/>
  <c r="M197" i="26"/>
  <c r="M198" i="26"/>
  <c r="M199" i="26"/>
  <c r="M200" i="26"/>
  <c r="M201" i="26"/>
  <c r="M202" i="26"/>
  <c r="M203" i="26"/>
  <c r="M204" i="26"/>
  <c r="M205" i="26"/>
  <c r="M206" i="26"/>
  <c r="M207" i="26"/>
  <c r="M208" i="26"/>
  <c r="M209" i="26"/>
  <c r="M210" i="26"/>
  <c r="M211" i="26"/>
  <c r="M212" i="26"/>
  <c r="M181" i="26"/>
  <c r="L213"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181" i="26"/>
  <c r="K213"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181" i="26"/>
  <c r="J213"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181" i="26"/>
  <c r="I213"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181" i="26"/>
  <c r="H21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182" i="26"/>
  <c r="H183" i="26"/>
  <c r="H181" i="26"/>
  <c r="U253" i="1"/>
  <c r="U252" i="1"/>
  <c r="U251" i="1"/>
  <c r="AA46" i="42" l="1"/>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45" i="42"/>
  <c r="X46" i="42"/>
  <c r="X47" i="42"/>
  <c r="X48" i="42"/>
  <c r="X49" i="42"/>
  <c r="X50" i="42"/>
  <c r="X51" i="42"/>
  <c r="X52" i="42"/>
  <c r="X53" i="42"/>
  <c r="X54" i="42"/>
  <c r="X55" i="42"/>
  <c r="X56" i="42"/>
  <c r="X57" i="42"/>
  <c r="X58" i="42"/>
  <c r="X59" i="42"/>
  <c r="X60" i="42"/>
  <c r="X61" i="42"/>
  <c r="X62" i="42"/>
  <c r="X63" i="42"/>
  <c r="X64" i="42"/>
  <c r="X65" i="42"/>
  <c r="X66" i="42"/>
  <c r="X67" i="42"/>
  <c r="X68" i="42"/>
  <c r="X69" i="42"/>
  <c r="X70" i="42"/>
  <c r="X71" i="42"/>
  <c r="X72" i="42"/>
  <c r="X73" i="42"/>
  <c r="X74" i="42"/>
  <c r="X75" i="42"/>
  <c r="X76" i="42"/>
  <c r="X77" i="42"/>
  <c r="X45" i="42"/>
  <c r="W46" i="42"/>
  <c r="W47" i="42"/>
  <c r="W48" i="42"/>
  <c r="W49" i="42"/>
  <c r="W50" i="42"/>
  <c r="W51" i="42"/>
  <c r="W52" i="42"/>
  <c r="W53" i="42"/>
  <c r="W54" i="42"/>
  <c r="W55" i="42"/>
  <c r="W56" i="42"/>
  <c r="W57" i="42"/>
  <c r="W58" i="42"/>
  <c r="W59" i="42"/>
  <c r="W60" i="42"/>
  <c r="W61" i="42"/>
  <c r="W62" i="42"/>
  <c r="W63" i="42"/>
  <c r="W64" i="42"/>
  <c r="W65" i="42"/>
  <c r="W66" i="42"/>
  <c r="W67" i="42"/>
  <c r="W68" i="42"/>
  <c r="W69" i="42"/>
  <c r="W70" i="42"/>
  <c r="W71" i="42"/>
  <c r="W72" i="42"/>
  <c r="W73" i="42"/>
  <c r="W74" i="42"/>
  <c r="W75" i="42"/>
  <c r="W76" i="42"/>
  <c r="W77" i="42"/>
  <c r="W45" i="42"/>
  <c r="V46" i="42"/>
  <c r="V47" i="42"/>
  <c r="V48" i="42"/>
  <c r="V49" i="42"/>
  <c r="V50" i="42"/>
  <c r="V51" i="42"/>
  <c r="V52" i="42"/>
  <c r="V53" i="42"/>
  <c r="V54" i="42"/>
  <c r="V55" i="42"/>
  <c r="V56" i="42"/>
  <c r="V57" i="42"/>
  <c r="V58" i="42"/>
  <c r="V59" i="42"/>
  <c r="V60" i="42"/>
  <c r="V61" i="42"/>
  <c r="V62" i="42"/>
  <c r="V63" i="42"/>
  <c r="V64" i="42"/>
  <c r="V65" i="42"/>
  <c r="V66" i="42"/>
  <c r="V67" i="42"/>
  <c r="V68" i="42"/>
  <c r="V69" i="42"/>
  <c r="V70" i="42"/>
  <c r="V71" i="42"/>
  <c r="V72" i="42"/>
  <c r="V73" i="42"/>
  <c r="V74" i="42"/>
  <c r="V75" i="42"/>
  <c r="V76" i="42"/>
  <c r="V77" i="42"/>
  <c r="V45" i="42"/>
  <c r="U46" i="42"/>
  <c r="U47" i="42"/>
  <c r="U48" i="42"/>
  <c r="U49" i="42"/>
  <c r="U50" i="42"/>
  <c r="U51" i="42"/>
  <c r="U52" i="42"/>
  <c r="U53" i="42"/>
  <c r="U54" i="42"/>
  <c r="U55" i="42"/>
  <c r="U56" i="42"/>
  <c r="U57" i="42"/>
  <c r="U58" i="42"/>
  <c r="U59" i="42"/>
  <c r="U60" i="42"/>
  <c r="U61" i="42"/>
  <c r="U62" i="42"/>
  <c r="U63" i="42"/>
  <c r="U64" i="42"/>
  <c r="U65" i="42"/>
  <c r="U66" i="42"/>
  <c r="U67" i="42"/>
  <c r="U68" i="42"/>
  <c r="U69" i="42"/>
  <c r="U70" i="42"/>
  <c r="U71" i="42"/>
  <c r="U72" i="42"/>
  <c r="U73" i="42"/>
  <c r="U74" i="42"/>
  <c r="U75" i="42"/>
  <c r="U76" i="42"/>
  <c r="U77" i="42"/>
  <c r="U45" i="42"/>
  <c r="S46" i="42"/>
  <c r="S47" i="42"/>
  <c r="S48" i="42"/>
  <c r="S49" i="42"/>
  <c r="S50" i="42"/>
  <c r="S51" i="42"/>
  <c r="S52" i="42"/>
  <c r="S53" i="42"/>
  <c r="S54" i="42"/>
  <c r="S55" i="42"/>
  <c r="S56" i="42"/>
  <c r="S57" i="42"/>
  <c r="S58" i="42"/>
  <c r="S59" i="42"/>
  <c r="S60" i="42"/>
  <c r="S61" i="42"/>
  <c r="S62" i="42"/>
  <c r="S63" i="42"/>
  <c r="S64" i="42"/>
  <c r="S65" i="42"/>
  <c r="S66" i="42"/>
  <c r="S67" i="42"/>
  <c r="S68" i="42"/>
  <c r="S69" i="42"/>
  <c r="S70" i="42"/>
  <c r="S71" i="42"/>
  <c r="S72" i="42"/>
  <c r="S73" i="42"/>
  <c r="S74" i="42"/>
  <c r="S75" i="42"/>
  <c r="S76" i="42"/>
  <c r="S77" i="42"/>
  <c r="S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45" i="42"/>
  <c r="Q46" i="42"/>
  <c r="Q47" i="42"/>
  <c r="Q48" i="42"/>
  <c r="Q49" i="42"/>
  <c r="Q50" i="42"/>
  <c r="Q51" i="42"/>
  <c r="Q52" i="42"/>
  <c r="Q53" i="42"/>
  <c r="Q54" i="42"/>
  <c r="Q55" i="42"/>
  <c r="Q56" i="42"/>
  <c r="Q57" i="42"/>
  <c r="Q58" i="42"/>
  <c r="Q59" i="42"/>
  <c r="Q60" i="42"/>
  <c r="Q61" i="42"/>
  <c r="Q62" i="42"/>
  <c r="Q63" i="42"/>
  <c r="Q64" i="42"/>
  <c r="Q65" i="42"/>
  <c r="Q66" i="42"/>
  <c r="Q67" i="42"/>
  <c r="Q68" i="42"/>
  <c r="Q69" i="42"/>
  <c r="Q70" i="42"/>
  <c r="Q71" i="42"/>
  <c r="Q72" i="42"/>
  <c r="Q73" i="42"/>
  <c r="Q74" i="42"/>
  <c r="Q75" i="42"/>
  <c r="Q76" i="42"/>
  <c r="Q77" i="42"/>
  <c r="Q45" i="42"/>
  <c r="P46" i="42"/>
  <c r="P47" i="42"/>
  <c r="P48" i="42"/>
  <c r="P49" i="42"/>
  <c r="P50" i="42"/>
  <c r="P51" i="42"/>
  <c r="P52" i="42"/>
  <c r="P53" i="42"/>
  <c r="P54" i="42"/>
  <c r="P55" i="42"/>
  <c r="P56" i="42"/>
  <c r="P57" i="42"/>
  <c r="P58" i="42"/>
  <c r="P59" i="42"/>
  <c r="P60" i="42"/>
  <c r="P61" i="42"/>
  <c r="P62" i="42"/>
  <c r="P63" i="42"/>
  <c r="P64" i="42"/>
  <c r="P65" i="42"/>
  <c r="P66" i="42"/>
  <c r="P67" i="42"/>
  <c r="P68" i="42"/>
  <c r="P69" i="42"/>
  <c r="P70" i="42"/>
  <c r="P71" i="42"/>
  <c r="P72" i="42"/>
  <c r="P73" i="42"/>
  <c r="P74" i="42"/>
  <c r="P75" i="42"/>
  <c r="P76" i="42"/>
  <c r="P77" i="42"/>
  <c r="P45" i="42"/>
  <c r="A10" i="3" l="1"/>
  <c r="W679" i="1" l="1"/>
  <c r="V679" i="1"/>
  <c r="W678" i="1"/>
  <c r="V678" i="1"/>
  <c r="W677" i="1"/>
  <c r="V677" i="1"/>
  <c r="W631" i="1"/>
  <c r="V631" i="1"/>
  <c r="W633" i="1" l="1"/>
  <c r="W634" i="1" l="1"/>
  <c r="W635" i="1"/>
  <c r="V633" i="1"/>
  <c r="Q135"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03" i="25"/>
  <c r="U585" i="1" s="1"/>
  <c r="V542" i="1"/>
  <c r="W542" i="1"/>
  <c r="V635" i="1" l="1"/>
  <c r="V634" i="1"/>
  <c r="V587" i="1"/>
  <c r="V586" i="1"/>
  <c r="V588" i="1"/>
  <c r="G130" i="26" l="1"/>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98" i="26"/>
  <c r="F130"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98" i="26"/>
  <c r="E130"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98" i="26"/>
  <c r="U226" i="1" l="1"/>
  <c r="T226" i="1"/>
  <c r="P48" i="26" l="1"/>
  <c r="T228" i="1" s="1"/>
  <c r="P47" i="26"/>
  <c r="T227" i="1" s="1"/>
  <c r="M77" i="35" l="1"/>
  <c r="L77" i="35"/>
  <c r="K77" i="35"/>
  <c r="J77" i="35"/>
  <c r="I77" i="35"/>
  <c r="H77" i="35"/>
  <c r="G77" i="35"/>
  <c r="F77" i="35"/>
  <c r="E77" i="35"/>
  <c r="D77" i="35"/>
  <c r="C77" i="35"/>
  <c r="B77" i="35"/>
  <c r="M77" i="18"/>
  <c r="L77" i="18"/>
  <c r="K77" i="18"/>
  <c r="J77" i="18"/>
  <c r="I77" i="18"/>
  <c r="H77" i="18"/>
  <c r="G77" i="18"/>
  <c r="F77" i="18"/>
  <c r="E77" i="18"/>
  <c r="D77" i="18"/>
  <c r="C77" i="18"/>
  <c r="B77" i="18"/>
  <c r="M77" i="12"/>
  <c r="L77" i="12"/>
  <c r="K77" i="12"/>
  <c r="J77" i="12"/>
  <c r="I77" i="12"/>
  <c r="H77" i="12"/>
  <c r="G77" i="12"/>
  <c r="F77" i="12"/>
  <c r="E77" i="12"/>
  <c r="D77" i="12"/>
  <c r="C77" i="12"/>
  <c r="B77" i="12"/>
  <c r="M77" i="11"/>
  <c r="L77" i="11"/>
  <c r="K77" i="11"/>
  <c r="J77" i="11"/>
  <c r="I77" i="11"/>
  <c r="H77" i="11"/>
  <c r="G77" i="11"/>
  <c r="F77" i="11"/>
  <c r="E77" i="11"/>
  <c r="D77" i="11"/>
  <c r="C77" i="11"/>
  <c r="B77" i="11"/>
  <c r="M77" i="13"/>
  <c r="L77" i="13"/>
  <c r="K77" i="13"/>
  <c r="J77" i="13"/>
  <c r="I77" i="13"/>
  <c r="H77" i="13"/>
  <c r="G77" i="13"/>
  <c r="F77" i="13"/>
  <c r="E77" i="13"/>
  <c r="D77" i="13"/>
  <c r="C77" i="13"/>
  <c r="B77" i="13"/>
  <c r="M77" i="14"/>
  <c r="L77" i="14"/>
  <c r="K77" i="14"/>
  <c r="J77" i="14"/>
  <c r="I77" i="14"/>
  <c r="H77" i="14"/>
  <c r="G77" i="14"/>
  <c r="F77" i="14"/>
  <c r="E77" i="14"/>
  <c r="D77" i="14"/>
  <c r="C77" i="14"/>
  <c r="B77" i="14"/>
  <c r="M77" i="15"/>
  <c r="L77" i="15"/>
  <c r="K77" i="15"/>
  <c r="J77" i="15"/>
  <c r="I77" i="15"/>
  <c r="H77" i="15"/>
  <c r="G77" i="15"/>
  <c r="F77" i="15"/>
  <c r="E77" i="15"/>
  <c r="D77" i="15"/>
  <c r="C77" i="15"/>
  <c r="B77" i="15"/>
  <c r="B2" i="41" l="1"/>
  <c r="C2" i="41"/>
  <c r="E2" i="41"/>
  <c r="E39" i="15" s="1"/>
  <c r="F2" i="41"/>
  <c r="G2" i="41"/>
  <c r="H2" i="41"/>
  <c r="I2" i="41"/>
  <c r="I39" i="15" s="1"/>
  <c r="J2" i="41"/>
  <c r="K2" i="41"/>
  <c r="G39" i="15" s="1"/>
  <c r="L2" i="41"/>
  <c r="D2" i="41"/>
  <c r="D39" i="15" s="1"/>
  <c r="AA77" i="15"/>
  <c r="Z77" i="15"/>
  <c r="Y77" i="15"/>
  <c r="X77" i="15"/>
  <c r="W77" i="15"/>
  <c r="V77" i="15"/>
  <c r="U77" i="15"/>
  <c r="AA76" i="15"/>
  <c r="Z76" i="15"/>
  <c r="Y76" i="15"/>
  <c r="X76" i="15"/>
  <c r="W76" i="15"/>
  <c r="V76" i="15"/>
  <c r="U76" i="15"/>
  <c r="AA75" i="15"/>
  <c r="Z75" i="15"/>
  <c r="Y75" i="15"/>
  <c r="X75" i="15"/>
  <c r="W75" i="15"/>
  <c r="V75" i="15"/>
  <c r="U75" i="15"/>
  <c r="AA74" i="15"/>
  <c r="Z74" i="15"/>
  <c r="Y74" i="15"/>
  <c r="X74" i="15"/>
  <c r="W74" i="15"/>
  <c r="V74" i="15"/>
  <c r="U74" i="15"/>
  <c r="AA73" i="15"/>
  <c r="Z73" i="15"/>
  <c r="Y73" i="15"/>
  <c r="X73" i="15"/>
  <c r="W73" i="15"/>
  <c r="V73" i="15"/>
  <c r="U73" i="15"/>
  <c r="AA72" i="15"/>
  <c r="Z72" i="15"/>
  <c r="Y72" i="15"/>
  <c r="X72" i="15"/>
  <c r="W72" i="15"/>
  <c r="V72" i="15"/>
  <c r="U72" i="15"/>
  <c r="AA71" i="15"/>
  <c r="Z71" i="15"/>
  <c r="Y71" i="15"/>
  <c r="X71" i="15"/>
  <c r="W71" i="15"/>
  <c r="V71" i="15"/>
  <c r="U71" i="15"/>
  <c r="AA70" i="15"/>
  <c r="Z70" i="15"/>
  <c r="Y70" i="15"/>
  <c r="X70" i="15"/>
  <c r="W70" i="15"/>
  <c r="V70" i="15"/>
  <c r="U70" i="15"/>
  <c r="AA69" i="15"/>
  <c r="Z69" i="15"/>
  <c r="Y69" i="15"/>
  <c r="X69" i="15"/>
  <c r="W69" i="15"/>
  <c r="V69" i="15"/>
  <c r="U69" i="15"/>
  <c r="AA68" i="15"/>
  <c r="Z68" i="15"/>
  <c r="Y68" i="15"/>
  <c r="X68" i="15"/>
  <c r="W68" i="15"/>
  <c r="V68" i="15"/>
  <c r="U68" i="15"/>
  <c r="AA67" i="15"/>
  <c r="Z67" i="15"/>
  <c r="Y67" i="15"/>
  <c r="X67" i="15"/>
  <c r="W67" i="15"/>
  <c r="V67" i="15"/>
  <c r="U67" i="15"/>
  <c r="AA66" i="15"/>
  <c r="Z66" i="15"/>
  <c r="Y66" i="15"/>
  <c r="X66" i="15"/>
  <c r="W66" i="15"/>
  <c r="V66" i="15"/>
  <c r="U66" i="15"/>
  <c r="AA65" i="15"/>
  <c r="Z65" i="15"/>
  <c r="Y65" i="15"/>
  <c r="X65" i="15"/>
  <c r="W65" i="15"/>
  <c r="V65" i="15"/>
  <c r="U65" i="15"/>
  <c r="AA64" i="15"/>
  <c r="Z64" i="15"/>
  <c r="Y64" i="15"/>
  <c r="X64" i="15"/>
  <c r="W64" i="15"/>
  <c r="V64" i="15"/>
  <c r="U64" i="15"/>
  <c r="AA63" i="15"/>
  <c r="Z63" i="15"/>
  <c r="Y63" i="15"/>
  <c r="X63" i="15"/>
  <c r="W63" i="15"/>
  <c r="V63" i="15"/>
  <c r="U63" i="15"/>
  <c r="AA62" i="15"/>
  <c r="Z62" i="15"/>
  <c r="Y62" i="15"/>
  <c r="X62" i="15"/>
  <c r="W62" i="15"/>
  <c r="V62" i="15"/>
  <c r="U62" i="15"/>
  <c r="AA61" i="15"/>
  <c r="Z61" i="15"/>
  <c r="Y61" i="15"/>
  <c r="X61" i="15"/>
  <c r="W61" i="15"/>
  <c r="V61" i="15"/>
  <c r="U61" i="15"/>
  <c r="AA60" i="15"/>
  <c r="Z60" i="15"/>
  <c r="Y60" i="15"/>
  <c r="X60" i="15"/>
  <c r="W60" i="15"/>
  <c r="V60" i="15"/>
  <c r="U60" i="15"/>
  <c r="AA59" i="15"/>
  <c r="Z59" i="15"/>
  <c r="Y59" i="15"/>
  <c r="X59" i="15"/>
  <c r="W59" i="15"/>
  <c r="V59" i="15"/>
  <c r="U59" i="15"/>
  <c r="AA58" i="15"/>
  <c r="Z58" i="15"/>
  <c r="Y58" i="15"/>
  <c r="X58" i="15"/>
  <c r="W58" i="15"/>
  <c r="V58" i="15"/>
  <c r="U58" i="15"/>
  <c r="AA57" i="15"/>
  <c r="Z57" i="15"/>
  <c r="Y57" i="15"/>
  <c r="X57" i="15"/>
  <c r="W57" i="15"/>
  <c r="V57" i="15"/>
  <c r="U57" i="15"/>
  <c r="AA56" i="15"/>
  <c r="Z56" i="15"/>
  <c r="Y56" i="15"/>
  <c r="X56" i="15"/>
  <c r="W56" i="15"/>
  <c r="V56" i="15"/>
  <c r="U56" i="15"/>
  <c r="AA55" i="15"/>
  <c r="Z55" i="15"/>
  <c r="Y55" i="15"/>
  <c r="X55" i="15"/>
  <c r="W55" i="15"/>
  <c r="V55" i="15"/>
  <c r="U55" i="15"/>
  <c r="AA54" i="15"/>
  <c r="Z54" i="15"/>
  <c r="Y54" i="15"/>
  <c r="X54" i="15"/>
  <c r="W54" i="15"/>
  <c r="V54" i="15"/>
  <c r="U54" i="15"/>
  <c r="AA53" i="15"/>
  <c r="Z53" i="15"/>
  <c r="Y53" i="15"/>
  <c r="X53" i="15"/>
  <c r="W53" i="15"/>
  <c r="V53" i="15"/>
  <c r="U53" i="15"/>
  <c r="AA52" i="15"/>
  <c r="Z52" i="15"/>
  <c r="Y52" i="15"/>
  <c r="X52" i="15"/>
  <c r="W52" i="15"/>
  <c r="V52" i="15"/>
  <c r="U52" i="15"/>
  <c r="AA51" i="15"/>
  <c r="Z51" i="15"/>
  <c r="Y51" i="15"/>
  <c r="X51" i="15"/>
  <c r="W51" i="15"/>
  <c r="V51" i="15"/>
  <c r="U51" i="15"/>
  <c r="AA50" i="15"/>
  <c r="Z50" i="15"/>
  <c r="Y50" i="15"/>
  <c r="X50" i="15"/>
  <c r="W50" i="15"/>
  <c r="V50" i="15"/>
  <c r="U50" i="15"/>
  <c r="AA49" i="15"/>
  <c r="Z49" i="15"/>
  <c r="Y49" i="15"/>
  <c r="X49" i="15"/>
  <c r="W49" i="15"/>
  <c r="V49" i="15"/>
  <c r="U49" i="15"/>
  <c r="AA48" i="15"/>
  <c r="Z48" i="15"/>
  <c r="Y48" i="15"/>
  <c r="X48" i="15"/>
  <c r="W48" i="15"/>
  <c r="V48" i="15"/>
  <c r="U48" i="15"/>
  <c r="AA47" i="15"/>
  <c r="Z47" i="15"/>
  <c r="Y47" i="15"/>
  <c r="X47" i="15"/>
  <c r="W47" i="15"/>
  <c r="V47" i="15"/>
  <c r="U47" i="15"/>
  <c r="AA46" i="15"/>
  <c r="Z46" i="15"/>
  <c r="Y46" i="15"/>
  <c r="X46" i="15"/>
  <c r="W46" i="15"/>
  <c r="V46" i="15"/>
  <c r="U46" i="15"/>
  <c r="AA45" i="15"/>
  <c r="Z45" i="15"/>
  <c r="Y45" i="15"/>
  <c r="X45" i="15"/>
  <c r="W45" i="15"/>
  <c r="V45" i="15"/>
  <c r="U45"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S77" i="15"/>
  <c r="R77" i="15"/>
  <c r="S76" i="15"/>
  <c r="R76" i="15"/>
  <c r="S75" i="15"/>
  <c r="R75" i="15"/>
  <c r="S74" i="15"/>
  <c r="R74" i="15"/>
  <c r="S73" i="15"/>
  <c r="R73" i="15"/>
  <c r="S72" i="15"/>
  <c r="R72" i="15"/>
  <c r="S71" i="15"/>
  <c r="R71" i="15"/>
  <c r="S70" i="15"/>
  <c r="R70" i="15"/>
  <c r="S69" i="15"/>
  <c r="R69" i="15"/>
  <c r="S68" i="15"/>
  <c r="R68" i="15"/>
  <c r="S67" i="15"/>
  <c r="R67" i="15"/>
  <c r="S66" i="15"/>
  <c r="R66" i="15"/>
  <c r="S65" i="15"/>
  <c r="R65" i="15"/>
  <c r="S64" i="15"/>
  <c r="R64" i="15"/>
  <c r="S63" i="15"/>
  <c r="R63" i="15"/>
  <c r="S62" i="15"/>
  <c r="R62" i="15"/>
  <c r="S61" i="15"/>
  <c r="R61" i="15"/>
  <c r="S60" i="15"/>
  <c r="R60" i="15"/>
  <c r="S59" i="15"/>
  <c r="R59" i="15"/>
  <c r="S58" i="15"/>
  <c r="R58" i="15"/>
  <c r="S57" i="15"/>
  <c r="R57" i="15"/>
  <c r="S56" i="15"/>
  <c r="R56" i="15"/>
  <c r="S55" i="15"/>
  <c r="R55" i="15"/>
  <c r="S54" i="15"/>
  <c r="R54" i="15"/>
  <c r="S53" i="15"/>
  <c r="R53" i="15"/>
  <c r="S52" i="15"/>
  <c r="R52" i="15"/>
  <c r="S51" i="15"/>
  <c r="R51" i="15"/>
  <c r="S50" i="15"/>
  <c r="R50" i="15"/>
  <c r="S49" i="15"/>
  <c r="R49" i="15"/>
  <c r="S48" i="15"/>
  <c r="R48" i="15"/>
  <c r="S47" i="15"/>
  <c r="R47" i="15"/>
  <c r="S46" i="15"/>
  <c r="R46" i="15"/>
  <c r="S45" i="15"/>
  <c r="R45" i="15"/>
  <c r="K39" i="15"/>
  <c r="H39" i="15"/>
  <c r="C39" i="15"/>
  <c r="B39" i="15"/>
  <c r="AA77" i="14"/>
  <c r="Z77" i="14"/>
  <c r="Y77" i="14"/>
  <c r="X77" i="14"/>
  <c r="W77" i="14"/>
  <c r="V77" i="14"/>
  <c r="U77" i="14"/>
  <c r="AA76" i="14"/>
  <c r="Z76" i="14"/>
  <c r="Y76" i="14"/>
  <c r="X76" i="14"/>
  <c r="W76" i="14"/>
  <c r="V76" i="14"/>
  <c r="U76" i="14"/>
  <c r="AA75" i="14"/>
  <c r="Z75" i="14"/>
  <c r="Y75" i="14"/>
  <c r="X75" i="14"/>
  <c r="W75" i="14"/>
  <c r="V75" i="14"/>
  <c r="U75" i="14"/>
  <c r="AA74" i="14"/>
  <c r="Z74" i="14"/>
  <c r="Y74" i="14"/>
  <c r="X74" i="14"/>
  <c r="W74" i="14"/>
  <c r="V74" i="14"/>
  <c r="U74" i="14"/>
  <c r="AA73" i="14"/>
  <c r="Z73" i="14"/>
  <c r="Y73" i="14"/>
  <c r="X73" i="14"/>
  <c r="W73" i="14"/>
  <c r="V73" i="14"/>
  <c r="U73" i="14"/>
  <c r="AA72" i="14"/>
  <c r="Z72" i="14"/>
  <c r="Y72" i="14"/>
  <c r="X72" i="14"/>
  <c r="W72" i="14"/>
  <c r="V72" i="14"/>
  <c r="U72" i="14"/>
  <c r="AA71" i="14"/>
  <c r="Z71" i="14"/>
  <c r="Y71" i="14"/>
  <c r="X71" i="14"/>
  <c r="W71" i="14"/>
  <c r="V71" i="14"/>
  <c r="U71" i="14"/>
  <c r="AA70" i="14"/>
  <c r="Z70" i="14"/>
  <c r="Y70" i="14"/>
  <c r="X70" i="14"/>
  <c r="W70" i="14"/>
  <c r="V70" i="14"/>
  <c r="U70" i="14"/>
  <c r="AA69" i="14"/>
  <c r="Z69" i="14"/>
  <c r="Y69" i="14"/>
  <c r="X69" i="14"/>
  <c r="W69" i="14"/>
  <c r="V69" i="14"/>
  <c r="U69" i="14"/>
  <c r="AA68" i="14"/>
  <c r="Z68" i="14"/>
  <c r="Y68" i="14"/>
  <c r="X68" i="14"/>
  <c r="W68" i="14"/>
  <c r="V68" i="14"/>
  <c r="U68" i="14"/>
  <c r="AA67" i="14"/>
  <c r="Z67" i="14"/>
  <c r="Y67" i="14"/>
  <c r="X67" i="14"/>
  <c r="W67" i="14"/>
  <c r="V67" i="14"/>
  <c r="U67" i="14"/>
  <c r="AA66" i="14"/>
  <c r="Z66" i="14"/>
  <c r="Y66" i="14"/>
  <c r="X66" i="14"/>
  <c r="W66" i="14"/>
  <c r="V66" i="14"/>
  <c r="U66" i="14"/>
  <c r="AA65" i="14"/>
  <c r="Z65" i="14"/>
  <c r="Y65" i="14"/>
  <c r="X65" i="14"/>
  <c r="W65" i="14"/>
  <c r="V65" i="14"/>
  <c r="U65" i="14"/>
  <c r="AA64" i="14"/>
  <c r="Z64" i="14"/>
  <c r="Y64" i="14"/>
  <c r="X64" i="14"/>
  <c r="W64" i="14"/>
  <c r="V64" i="14"/>
  <c r="U64" i="14"/>
  <c r="AA63" i="14"/>
  <c r="Z63" i="14"/>
  <c r="Y63" i="14"/>
  <c r="X63" i="14"/>
  <c r="W63" i="14"/>
  <c r="V63" i="14"/>
  <c r="U63" i="14"/>
  <c r="AA62" i="14"/>
  <c r="Z62" i="14"/>
  <c r="Y62" i="14"/>
  <c r="X62" i="14"/>
  <c r="W62" i="14"/>
  <c r="V62" i="14"/>
  <c r="U62" i="14"/>
  <c r="AA61" i="14"/>
  <c r="Z61" i="14"/>
  <c r="Y61" i="14"/>
  <c r="X61" i="14"/>
  <c r="W61" i="14"/>
  <c r="V61" i="14"/>
  <c r="U61" i="14"/>
  <c r="AA60" i="14"/>
  <c r="Z60" i="14"/>
  <c r="Y60" i="14"/>
  <c r="X60" i="14"/>
  <c r="W60" i="14"/>
  <c r="V60" i="14"/>
  <c r="U60" i="14"/>
  <c r="AA59" i="14"/>
  <c r="Z59" i="14"/>
  <c r="Y59" i="14"/>
  <c r="X59" i="14"/>
  <c r="W59" i="14"/>
  <c r="V59" i="14"/>
  <c r="U59" i="14"/>
  <c r="AA58" i="14"/>
  <c r="Z58" i="14"/>
  <c r="Y58" i="14"/>
  <c r="X58" i="14"/>
  <c r="W58" i="14"/>
  <c r="V58" i="14"/>
  <c r="U58" i="14"/>
  <c r="AA57" i="14"/>
  <c r="Z57" i="14"/>
  <c r="Y57" i="14"/>
  <c r="X57" i="14"/>
  <c r="W57" i="14"/>
  <c r="V57" i="14"/>
  <c r="U57" i="14"/>
  <c r="AA56" i="14"/>
  <c r="Z56" i="14"/>
  <c r="Y56" i="14"/>
  <c r="X56" i="14"/>
  <c r="W56" i="14"/>
  <c r="V56" i="14"/>
  <c r="U56" i="14"/>
  <c r="AA55" i="14"/>
  <c r="Z55" i="14"/>
  <c r="Y55" i="14"/>
  <c r="X55" i="14"/>
  <c r="W55" i="14"/>
  <c r="V55" i="14"/>
  <c r="U55" i="14"/>
  <c r="AA54" i="14"/>
  <c r="Z54" i="14"/>
  <c r="Y54" i="14"/>
  <c r="X54" i="14"/>
  <c r="W54" i="14"/>
  <c r="V54" i="14"/>
  <c r="U54" i="14"/>
  <c r="AA53" i="14"/>
  <c r="Z53" i="14"/>
  <c r="Y53" i="14"/>
  <c r="X53" i="14"/>
  <c r="W53" i="14"/>
  <c r="V53" i="14"/>
  <c r="U53" i="14"/>
  <c r="AA52" i="14"/>
  <c r="Z52" i="14"/>
  <c r="Y52" i="14"/>
  <c r="X52" i="14"/>
  <c r="W52" i="14"/>
  <c r="V52" i="14"/>
  <c r="U52" i="14"/>
  <c r="AA51" i="14"/>
  <c r="Z51" i="14"/>
  <c r="Y51" i="14"/>
  <c r="X51" i="14"/>
  <c r="W51" i="14"/>
  <c r="V51" i="14"/>
  <c r="U51" i="14"/>
  <c r="AA50" i="14"/>
  <c r="Z50" i="14"/>
  <c r="Y50" i="14"/>
  <c r="X50" i="14"/>
  <c r="W50" i="14"/>
  <c r="V50" i="14"/>
  <c r="U50" i="14"/>
  <c r="AA49" i="14"/>
  <c r="Z49" i="14"/>
  <c r="Y49" i="14"/>
  <c r="X49" i="14"/>
  <c r="W49" i="14"/>
  <c r="V49" i="14"/>
  <c r="U49" i="14"/>
  <c r="AA48" i="14"/>
  <c r="Z48" i="14"/>
  <c r="Y48" i="14"/>
  <c r="X48" i="14"/>
  <c r="W48" i="14"/>
  <c r="V48" i="14"/>
  <c r="U48" i="14"/>
  <c r="AA47" i="14"/>
  <c r="Z47" i="14"/>
  <c r="Y47" i="14"/>
  <c r="X47" i="14"/>
  <c r="W47" i="14"/>
  <c r="V47" i="14"/>
  <c r="U47" i="14"/>
  <c r="AA46" i="14"/>
  <c r="Z46" i="14"/>
  <c r="Y46" i="14"/>
  <c r="X46" i="14"/>
  <c r="W46" i="14"/>
  <c r="V46" i="14"/>
  <c r="U46" i="14"/>
  <c r="AA45" i="14"/>
  <c r="Z45" i="14"/>
  <c r="Y45" i="14"/>
  <c r="X45" i="14"/>
  <c r="W45" i="14"/>
  <c r="V45" i="14"/>
  <c r="U45"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P77" i="14"/>
  <c r="P76" i="14"/>
  <c r="P75" i="14"/>
  <c r="P74" i="14"/>
  <c r="P73" i="14"/>
  <c r="P72" i="14"/>
  <c r="P71" i="14"/>
  <c r="P70" i="14"/>
  <c r="P69" i="14"/>
  <c r="P68" i="14"/>
  <c r="P67" i="14"/>
  <c r="P66" i="14"/>
  <c r="P65" i="14"/>
  <c r="P64" i="14"/>
  <c r="P63" i="14"/>
  <c r="P62" i="14"/>
  <c r="P61" i="14"/>
  <c r="P60" i="14"/>
  <c r="P59" i="14"/>
  <c r="P58" i="14"/>
  <c r="P57" i="14"/>
  <c r="P56" i="14"/>
  <c r="P55" i="14"/>
  <c r="P54" i="14"/>
  <c r="P53" i="14"/>
  <c r="P52" i="14"/>
  <c r="P51" i="14"/>
  <c r="P50" i="14"/>
  <c r="P49" i="14"/>
  <c r="P48" i="14"/>
  <c r="P47" i="14"/>
  <c r="P46" i="14"/>
  <c r="P45" i="14"/>
  <c r="S77" i="14"/>
  <c r="R77" i="14"/>
  <c r="S76" i="14"/>
  <c r="R76" i="14"/>
  <c r="S75" i="14"/>
  <c r="R75" i="14"/>
  <c r="S74" i="14"/>
  <c r="R74" i="14"/>
  <c r="S73" i="14"/>
  <c r="R73" i="14"/>
  <c r="S72" i="14"/>
  <c r="R72" i="14"/>
  <c r="S71" i="14"/>
  <c r="R71" i="14"/>
  <c r="S70" i="14"/>
  <c r="R70" i="14"/>
  <c r="S69" i="14"/>
  <c r="R69" i="14"/>
  <c r="S68" i="14"/>
  <c r="R68" i="14"/>
  <c r="S67" i="14"/>
  <c r="R67" i="14"/>
  <c r="S66" i="14"/>
  <c r="R66" i="14"/>
  <c r="S65" i="14"/>
  <c r="R65" i="14"/>
  <c r="S64" i="14"/>
  <c r="R64" i="14"/>
  <c r="S63" i="14"/>
  <c r="R63" i="14"/>
  <c r="S62" i="14"/>
  <c r="R62" i="14"/>
  <c r="S61" i="14"/>
  <c r="R61" i="14"/>
  <c r="S60" i="14"/>
  <c r="R60" i="14"/>
  <c r="S59" i="14"/>
  <c r="R59" i="14"/>
  <c r="S58" i="14"/>
  <c r="R58" i="14"/>
  <c r="S57" i="14"/>
  <c r="R57" i="14"/>
  <c r="S56" i="14"/>
  <c r="R56" i="14"/>
  <c r="S55" i="14"/>
  <c r="R55" i="14"/>
  <c r="S54" i="14"/>
  <c r="R54" i="14"/>
  <c r="S53" i="14"/>
  <c r="R53" i="14"/>
  <c r="S52" i="14"/>
  <c r="R52" i="14"/>
  <c r="S51" i="14"/>
  <c r="R51" i="14"/>
  <c r="S50" i="14"/>
  <c r="R50" i="14"/>
  <c r="S49" i="14"/>
  <c r="R49" i="14"/>
  <c r="S48" i="14"/>
  <c r="R48" i="14"/>
  <c r="S47" i="14"/>
  <c r="R47" i="14"/>
  <c r="S46" i="14"/>
  <c r="R46" i="14"/>
  <c r="S45" i="14"/>
  <c r="R45" i="14"/>
  <c r="K39" i="14"/>
  <c r="G39" i="14"/>
  <c r="F39" i="14"/>
  <c r="C39" i="14"/>
  <c r="AA77" i="13"/>
  <c r="Z77" i="13"/>
  <c r="Y77" i="13"/>
  <c r="X77" i="13"/>
  <c r="W77" i="13"/>
  <c r="V77" i="13"/>
  <c r="U77" i="13"/>
  <c r="AA76" i="13"/>
  <c r="Z76" i="13"/>
  <c r="Y76" i="13"/>
  <c r="X76" i="13"/>
  <c r="W76" i="13"/>
  <c r="V76" i="13"/>
  <c r="U76" i="13"/>
  <c r="AA75" i="13"/>
  <c r="Z75" i="13"/>
  <c r="Y75" i="13"/>
  <c r="X75" i="13"/>
  <c r="W75" i="13"/>
  <c r="V75" i="13"/>
  <c r="U75" i="13"/>
  <c r="AA74" i="13"/>
  <c r="Z74" i="13"/>
  <c r="Y74" i="13"/>
  <c r="X74" i="13"/>
  <c r="W74" i="13"/>
  <c r="V74" i="13"/>
  <c r="U74" i="13"/>
  <c r="AA73" i="13"/>
  <c r="Z73" i="13"/>
  <c r="Y73" i="13"/>
  <c r="X73" i="13"/>
  <c r="W73" i="13"/>
  <c r="V73" i="13"/>
  <c r="U73" i="13"/>
  <c r="AA72" i="13"/>
  <c r="Z72" i="13"/>
  <c r="Y72" i="13"/>
  <c r="X72" i="13"/>
  <c r="W72" i="13"/>
  <c r="V72" i="13"/>
  <c r="U72" i="13"/>
  <c r="AA71" i="13"/>
  <c r="Z71" i="13"/>
  <c r="Y71" i="13"/>
  <c r="X71" i="13"/>
  <c r="W71" i="13"/>
  <c r="V71" i="13"/>
  <c r="U71" i="13"/>
  <c r="AA70" i="13"/>
  <c r="Z70" i="13"/>
  <c r="Y70" i="13"/>
  <c r="X70" i="13"/>
  <c r="W70" i="13"/>
  <c r="V70" i="13"/>
  <c r="U70" i="13"/>
  <c r="AA69" i="13"/>
  <c r="Z69" i="13"/>
  <c r="Y69" i="13"/>
  <c r="X69" i="13"/>
  <c r="W69" i="13"/>
  <c r="V69" i="13"/>
  <c r="U69" i="13"/>
  <c r="AA68" i="13"/>
  <c r="Z68" i="13"/>
  <c r="Y68" i="13"/>
  <c r="X68" i="13"/>
  <c r="W68" i="13"/>
  <c r="V68" i="13"/>
  <c r="U68" i="13"/>
  <c r="AA67" i="13"/>
  <c r="Z67" i="13"/>
  <c r="Y67" i="13"/>
  <c r="X67" i="13"/>
  <c r="W67" i="13"/>
  <c r="V67" i="13"/>
  <c r="U67" i="13"/>
  <c r="AA66" i="13"/>
  <c r="Z66" i="13"/>
  <c r="Y66" i="13"/>
  <c r="X66" i="13"/>
  <c r="W66" i="13"/>
  <c r="V66" i="13"/>
  <c r="U66" i="13"/>
  <c r="AA65" i="13"/>
  <c r="Z65" i="13"/>
  <c r="Y65" i="13"/>
  <c r="X65" i="13"/>
  <c r="W65" i="13"/>
  <c r="V65" i="13"/>
  <c r="U65" i="13"/>
  <c r="AA64" i="13"/>
  <c r="Z64" i="13"/>
  <c r="Y64" i="13"/>
  <c r="X64" i="13"/>
  <c r="W64" i="13"/>
  <c r="V64" i="13"/>
  <c r="U64" i="13"/>
  <c r="AA63" i="13"/>
  <c r="Z63" i="13"/>
  <c r="Y63" i="13"/>
  <c r="X63" i="13"/>
  <c r="W63" i="13"/>
  <c r="V63" i="13"/>
  <c r="U63" i="13"/>
  <c r="AA62" i="13"/>
  <c r="Z62" i="13"/>
  <c r="Y62" i="13"/>
  <c r="X62" i="13"/>
  <c r="W62" i="13"/>
  <c r="V62" i="13"/>
  <c r="U62" i="13"/>
  <c r="AA61" i="13"/>
  <c r="Z61" i="13"/>
  <c r="Y61" i="13"/>
  <c r="X61" i="13"/>
  <c r="W61" i="13"/>
  <c r="V61" i="13"/>
  <c r="U61" i="13"/>
  <c r="AA60" i="13"/>
  <c r="Z60" i="13"/>
  <c r="Y60" i="13"/>
  <c r="X60" i="13"/>
  <c r="W60" i="13"/>
  <c r="V60" i="13"/>
  <c r="U60" i="13"/>
  <c r="AA59" i="13"/>
  <c r="Z59" i="13"/>
  <c r="Y59" i="13"/>
  <c r="X59" i="13"/>
  <c r="W59" i="13"/>
  <c r="V59" i="13"/>
  <c r="U59" i="13"/>
  <c r="AA58" i="13"/>
  <c r="Z58" i="13"/>
  <c r="Y58" i="13"/>
  <c r="X58" i="13"/>
  <c r="W58" i="13"/>
  <c r="V58" i="13"/>
  <c r="U58" i="13"/>
  <c r="AA57" i="13"/>
  <c r="Z57" i="13"/>
  <c r="Y57" i="13"/>
  <c r="X57" i="13"/>
  <c r="W57" i="13"/>
  <c r="V57" i="13"/>
  <c r="U57" i="13"/>
  <c r="AA56" i="13"/>
  <c r="Z56" i="13"/>
  <c r="Y56" i="13"/>
  <c r="X56" i="13"/>
  <c r="W56" i="13"/>
  <c r="V56" i="13"/>
  <c r="U56" i="13"/>
  <c r="AA55" i="13"/>
  <c r="Z55" i="13"/>
  <c r="Y55" i="13"/>
  <c r="X55" i="13"/>
  <c r="W55" i="13"/>
  <c r="V55" i="13"/>
  <c r="U55" i="13"/>
  <c r="AA54" i="13"/>
  <c r="Z54" i="13"/>
  <c r="Y54" i="13"/>
  <c r="X54" i="13"/>
  <c r="W54" i="13"/>
  <c r="V54" i="13"/>
  <c r="U54" i="13"/>
  <c r="AA53" i="13"/>
  <c r="Z53" i="13"/>
  <c r="Y53" i="13"/>
  <c r="X53" i="13"/>
  <c r="W53" i="13"/>
  <c r="V53" i="13"/>
  <c r="U53" i="13"/>
  <c r="AA52" i="13"/>
  <c r="Z52" i="13"/>
  <c r="Y52" i="13"/>
  <c r="X52" i="13"/>
  <c r="W52" i="13"/>
  <c r="V52" i="13"/>
  <c r="U52" i="13"/>
  <c r="AA51" i="13"/>
  <c r="Z51" i="13"/>
  <c r="Y51" i="13"/>
  <c r="X51" i="13"/>
  <c r="W51" i="13"/>
  <c r="V51" i="13"/>
  <c r="U51" i="13"/>
  <c r="AA50" i="13"/>
  <c r="Z50" i="13"/>
  <c r="Y50" i="13"/>
  <c r="X50" i="13"/>
  <c r="W50" i="13"/>
  <c r="V50" i="13"/>
  <c r="U50" i="13"/>
  <c r="AA49" i="13"/>
  <c r="Z49" i="13"/>
  <c r="Y49" i="13"/>
  <c r="X49" i="13"/>
  <c r="W49" i="13"/>
  <c r="V49" i="13"/>
  <c r="U49" i="13"/>
  <c r="AA48" i="13"/>
  <c r="Z48" i="13"/>
  <c r="Y48" i="13"/>
  <c r="X48" i="13"/>
  <c r="W48" i="13"/>
  <c r="V48" i="13"/>
  <c r="U48" i="13"/>
  <c r="AA47" i="13"/>
  <c r="Z47" i="13"/>
  <c r="Y47" i="13"/>
  <c r="X47" i="13"/>
  <c r="W47" i="13"/>
  <c r="V47" i="13"/>
  <c r="U47" i="13"/>
  <c r="AA46" i="13"/>
  <c r="Z46" i="13"/>
  <c r="Y46" i="13"/>
  <c r="X46" i="13"/>
  <c r="W46" i="13"/>
  <c r="V46" i="13"/>
  <c r="U46" i="13"/>
  <c r="AA45" i="13"/>
  <c r="Z45" i="13"/>
  <c r="Y45" i="13"/>
  <c r="X45" i="13"/>
  <c r="W45" i="13"/>
  <c r="V45" i="13"/>
  <c r="U45" i="13"/>
  <c r="T77" i="13"/>
  <c r="T76" i="13"/>
  <c r="T7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S77" i="13"/>
  <c r="R77" i="13"/>
  <c r="S76" i="13"/>
  <c r="R76" i="13"/>
  <c r="S75" i="13"/>
  <c r="R75" i="13"/>
  <c r="S74" i="13"/>
  <c r="R74" i="13"/>
  <c r="S73" i="13"/>
  <c r="R73" i="13"/>
  <c r="S72" i="13"/>
  <c r="R72" i="13"/>
  <c r="S71" i="13"/>
  <c r="R71" i="13"/>
  <c r="S70" i="13"/>
  <c r="R70" i="13"/>
  <c r="S69" i="13"/>
  <c r="R69" i="13"/>
  <c r="S68" i="13"/>
  <c r="R68" i="13"/>
  <c r="S67" i="13"/>
  <c r="R67" i="13"/>
  <c r="S66" i="13"/>
  <c r="R66" i="13"/>
  <c r="S65" i="13"/>
  <c r="R65" i="13"/>
  <c r="S64" i="13"/>
  <c r="R64" i="13"/>
  <c r="S63" i="13"/>
  <c r="R63" i="13"/>
  <c r="S62" i="13"/>
  <c r="R62" i="13"/>
  <c r="S61" i="13"/>
  <c r="R61" i="13"/>
  <c r="S60" i="13"/>
  <c r="R60" i="13"/>
  <c r="S59" i="13"/>
  <c r="R59" i="13"/>
  <c r="S58" i="13"/>
  <c r="R58" i="13"/>
  <c r="S57" i="13"/>
  <c r="R57" i="13"/>
  <c r="S56" i="13"/>
  <c r="R56" i="13"/>
  <c r="S55" i="13"/>
  <c r="R55" i="13"/>
  <c r="S54" i="13"/>
  <c r="R54" i="13"/>
  <c r="S53" i="13"/>
  <c r="R53" i="13"/>
  <c r="S52" i="13"/>
  <c r="R52" i="13"/>
  <c r="S51" i="13"/>
  <c r="R51" i="13"/>
  <c r="S50" i="13"/>
  <c r="R50" i="13"/>
  <c r="S49" i="13"/>
  <c r="R49" i="13"/>
  <c r="S48" i="13"/>
  <c r="R48" i="13"/>
  <c r="S47" i="13"/>
  <c r="R47" i="13"/>
  <c r="S46" i="13"/>
  <c r="R46" i="13"/>
  <c r="S45" i="13"/>
  <c r="R45" i="13"/>
  <c r="B39" i="14" l="1"/>
  <c r="H39" i="14"/>
  <c r="J39" i="15"/>
  <c r="J39" i="14"/>
  <c r="F39" i="15"/>
  <c r="D39" i="14"/>
  <c r="E39" i="14"/>
  <c r="I39" i="14"/>
  <c r="I39" i="43"/>
  <c r="E39" i="43"/>
  <c r="L39" i="43"/>
  <c r="H39" i="43"/>
  <c r="D39" i="43"/>
  <c r="K39" i="43"/>
  <c r="G39" i="43"/>
  <c r="C39" i="43"/>
  <c r="J39" i="43"/>
  <c r="F39" i="43"/>
  <c r="B39" i="43"/>
  <c r="L39" i="42"/>
  <c r="H39" i="42"/>
  <c r="D39" i="42"/>
  <c r="K39" i="42"/>
  <c r="G39" i="42"/>
  <c r="C39" i="42"/>
  <c r="J39" i="42"/>
  <c r="F39" i="42"/>
  <c r="B39" i="42"/>
  <c r="I39" i="42"/>
  <c r="E39" i="42"/>
  <c r="B39" i="18"/>
  <c r="M35" i="14"/>
  <c r="K35" i="14"/>
  <c r="I35" i="14"/>
  <c r="G35" i="14"/>
  <c r="E35" i="14"/>
  <c r="C35" i="14"/>
  <c r="L34" i="14"/>
  <c r="J34" i="14"/>
  <c r="H34" i="14"/>
  <c r="F34" i="14"/>
  <c r="D34" i="14"/>
  <c r="M33" i="14"/>
  <c r="K33" i="14"/>
  <c r="I33" i="14"/>
  <c r="G33" i="14"/>
  <c r="E33" i="14"/>
  <c r="C33" i="14"/>
  <c r="L32" i="14"/>
  <c r="J32" i="14"/>
  <c r="H32" i="14"/>
  <c r="F32" i="14"/>
  <c r="D32" i="14"/>
  <c r="M31" i="14"/>
  <c r="K31" i="14"/>
  <c r="I31" i="14"/>
  <c r="G31" i="14"/>
  <c r="E31" i="14"/>
  <c r="C31" i="14"/>
  <c r="L30" i="14"/>
  <c r="J30" i="14"/>
  <c r="H30" i="14"/>
  <c r="F30" i="14"/>
  <c r="D30" i="14"/>
  <c r="M29" i="14"/>
  <c r="K29" i="14"/>
  <c r="I29" i="14"/>
  <c r="G29" i="14"/>
  <c r="E29" i="14"/>
  <c r="C29" i="14"/>
  <c r="L28" i="14"/>
  <c r="J28" i="14"/>
  <c r="H28" i="14"/>
  <c r="F28" i="14"/>
  <c r="D28" i="14"/>
  <c r="M27" i="14"/>
  <c r="K27" i="14"/>
  <c r="I27" i="14"/>
  <c r="G27" i="14"/>
  <c r="E27" i="14"/>
  <c r="C27" i="14"/>
  <c r="L26" i="14"/>
  <c r="J26" i="14"/>
  <c r="H26" i="14"/>
  <c r="F26" i="14"/>
  <c r="D26" i="14"/>
  <c r="M25" i="14"/>
  <c r="K25" i="14"/>
  <c r="I25" i="14"/>
  <c r="G25" i="14"/>
  <c r="E25" i="14"/>
  <c r="C25" i="14"/>
  <c r="L24" i="14"/>
  <c r="J24" i="14"/>
  <c r="H24" i="14"/>
  <c r="F24" i="14"/>
  <c r="D24" i="14"/>
  <c r="M23" i="14"/>
  <c r="K23" i="14"/>
  <c r="I23" i="14"/>
  <c r="G23" i="14"/>
  <c r="E23" i="14"/>
  <c r="C23" i="14"/>
  <c r="L22" i="14"/>
  <c r="J22" i="14"/>
  <c r="H22" i="14"/>
  <c r="F22" i="14"/>
  <c r="D22" i="14"/>
  <c r="M21" i="14"/>
  <c r="K21" i="14"/>
  <c r="I21" i="14"/>
  <c r="G21" i="14"/>
  <c r="E21" i="14"/>
  <c r="C21" i="14"/>
  <c r="L20" i="14"/>
  <c r="J20" i="14"/>
  <c r="H20" i="14"/>
  <c r="F20" i="14"/>
  <c r="D20" i="14"/>
  <c r="M19" i="14"/>
  <c r="K19" i="14"/>
  <c r="I19" i="14"/>
  <c r="G19" i="14"/>
  <c r="E19" i="14"/>
  <c r="C19" i="14"/>
  <c r="L18" i="14"/>
  <c r="J18" i="14"/>
  <c r="H18" i="14"/>
  <c r="F18" i="14"/>
  <c r="D18" i="14"/>
  <c r="M17" i="14"/>
  <c r="K17" i="14"/>
  <c r="I17" i="14"/>
  <c r="G17" i="14"/>
  <c r="E17" i="14"/>
  <c r="C17" i="14"/>
  <c r="L16" i="14"/>
  <c r="J16" i="14"/>
  <c r="H16" i="14"/>
  <c r="F16" i="14"/>
  <c r="D16" i="14"/>
  <c r="M15" i="14"/>
  <c r="K15" i="14"/>
  <c r="I15" i="14"/>
  <c r="G15" i="14"/>
  <c r="E15" i="14"/>
  <c r="C15" i="14"/>
  <c r="L14" i="14"/>
  <c r="J14" i="14"/>
  <c r="H14" i="14"/>
  <c r="F14" i="14"/>
  <c r="D14" i="14"/>
  <c r="M13" i="14"/>
  <c r="K13" i="14"/>
  <c r="I13" i="14"/>
  <c r="G13" i="14"/>
  <c r="E13" i="14"/>
  <c r="C13" i="14"/>
  <c r="L12" i="14"/>
  <c r="J12" i="14"/>
  <c r="H12" i="14"/>
  <c r="F12" i="14"/>
  <c r="D12" i="14"/>
  <c r="M11" i="14"/>
  <c r="K11" i="14"/>
  <c r="I11" i="14"/>
  <c r="G11" i="14"/>
  <c r="E11" i="14"/>
  <c r="C11" i="14"/>
  <c r="L10" i="14"/>
  <c r="J10" i="14"/>
  <c r="H10" i="14"/>
  <c r="F10" i="14"/>
  <c r="L35" i="14"/>
  <c r="J35" i="14"/>
  <c r="H35" i="14"/>
  <c r="F35" i="14"/>
  <c r="D35" i="14"/>
  <c r="M34" i="14"/>
  <c r="K34" i="14"/>
  <c r="I34" i="14"/>
  <c r="G34" i="14"/>
  <c r="E34" i="14"/>
  <c r="C34" i="14"/>
  <c r="L33" i="14"/>
  <c r="J33" i="14"/>
  <c r="H33" i="14"/>
  <c r="F33" i="14"/>
  <c r="D33" i="14"/>
  <c r="M32" i="14"/>
  <c r="K32" i="14"/>
  <c r="I32" i="14"/>
  <c r="G32" i="14"/>
  <c r="E32" i="14"/>
  <c r="C32" i="14"/>
  <c r="L31" i="14"/>
  <c r="J31" i="14"/>
  <c r="H31" i="14"/>
  <c r="F31" i="14"/>
  <c r="D31" i="14"/>
  <c r="M30" i="14"/>
  <c r="K30" i="14"/>
  <c r="I30" i="14"/>
  <c r="G30" i="14"/>
  <c r="E30" i="14"/>
  <c r="C30" i="14"/>
  <c r="L29" i="14"/>
  <c r="J29" i="14"/>
  <c r="H29" i="14"/>
  <c r="F29" i="14"/>
  <c r="D29" i="14"/>
  <c r="M28" i="14"/>
  <c r="K28" i="14"/>
  <c r="I28" i="14"/>
  <c r="G28" i="14"/>
  <c r="E28" i="14"/>
  <c r="C28" i="14"/>
  <c r="L27" i="14"/>
  <c r="J27" i="14"/>
  <c r="H27" i="14"/>
  <c r="F27" i="14"/>
  <c r="D27" i="14"/>
  <c r="M26" i="14"/>
  <c r="K26" i="14"/>
  <c r="I26" i="14"/>
  <c r="G26" i="14"/>
  <c r="E26" i="14"/>
  <c r="C26" i="14"/>
  <c r="L25" i="14"/>
  <c r="J25" i="14"/>
  <c r="H25" i="14"/>
  <c r="F25" i="14"/>
  <c r="D25" i="14"/>
  <c r="M24" i="14"/>
  <c r="K24" i="14"/>
  <c r="I24" i="14"/>
  <c r="G24" i="14"/>
  <c r="E24" i="14"/>
  <c r="C24" i="14"/>
  <c r="L23" i="14"/>
  <c r="J23" i="14"/>
  <c r="H23" i="14"/>
  <c r="F23" i="14"/>
  <c r="D23" i="14"/>
  <c r="M22" i="14"/>
  <c r="K22" i="14"/>
  <c r="I22" i="14"/>
  <c r="G22" i="14"/>
  <c r="E22" i="14"/>
  <c r="C22" i="14"/>
  <c r="L21" i="14"/>
  <c r="J21" i="14"/>
  <c r="H21" i="14"/>
  <c r="F21" i="14"/>
  <c r="D21" i="14"/>
  <c r="M20" i="14"/>
  <c r="K20" i="14"/>
  <c r="I20" i="14"/>
  <c r="G20" i="14"/>
  <c r="E20" i="14"/>
  <c r="C20" i="14"/>
  <c r="L19" i="14"/>
  <c r="J19" i="14"/>
  <c r="H19" i="14"/>
  <c r="F19" i="14"/>
  <c r="D19" i="14"/>
  <c r="M18" i="14"/>
  <c r="K18" i="14"/>
  <c r="I18" i="14"/>
  <c r="G18" i="14"/>
  <c r="E18" i="14"/>
  <c r="C18" i="14"/>
  <c r="L17" i="14"/>
  <c r="J17" i="14"/>
  <c r="H17" i="14"/>
  <c r="F17" i="14"/>
  <c r="D17" i="14"/>
  <c r="M16" i="14"/>
  <c r="K16" i="14"/>
  <c r="I16" i="14"/>
  <c r="G16" i="14"/>
  <c r="E16" i="14"/>
  <c r="C16" i="14"/>
  <c r="L15" i="14"/>
  <c r="J15" i="14"/>
  <c r="H15" i="14"/>
  <c r="F15" i="14"/>
  <c r="D15" i="14"/>
  <c r="M14" i="14"/>
  <c r="K14" i="14"/>
  <c r="I14" i="14"/>
  <c r="G14" i="14"/>
  <c r="E14" i="14"/>
  <c r="C14" i="14"/>
  <c r="L13" i="14"/>
  <c r="J13" i="14"/>
  <c r="H13" i="14"/>
  <c r="F13" i="14"/>
  <c r="D13" i="14"/>
  <c r="M12" i="14"/>
  <c r="K12" i="14"/>
  <c r="I12" i="14"/>
  <c r="G12" i="14"/>
  <c r="E12" i="14"/>
  <c r="C12" i="14"/>
  <c r="L11" i="14"/>
  <c r="J11" i="14"/>
  <c r="H11" i="14"/>
  <c r="F11" i="14"/>
  <c r="D11" i="14"/>
  <c r="M10" i="14"/>
  <c r="K10" i="14"/>
  <c r="I10" i="14"/>
  <c r="G10" i="14"/>
  <c r="E10" i="14"/>
  <c r="B3" i="14"/>
  <c r="B5" i="14"/>
  <c r="B7" i="14"/>
  <c r="B9" i="14"/>
  <c r="B11" i="14"/>
  <c r="B13" i="14"/>
  <c r="B15" i="14"/>
  <c r="B17" i="14"/>
  <c r="B19" i="14"/>
  <c r="B21" i="14"/>
  <c r="B23" i="14"/>
  <c r="B25" i="14"/>
  <c r="B27" i="14"/>
  <c r="B29" i="14"/>
  <c r="B31" i="14"/>
  <c r="B33" i="14"/>
  <c r="B35" i="14"/>
  <c r="D3" i="14"/>
  <c r="F3" i="14"/>
  <c r="H3" i="14"/>
  <c r="J3" i="14"/>
  <c r="L3" i="14"/>
  <c r="C4" i="14"/>
  <c r="E4" i="14"/>
  <c r="G4" i="14"/>
  <c r="I4" i="14"/>
  <c r="K4" i="14"/>
  <c r="M4" i="14"/>
  <c r="D5" i="14"/>
  <c r="F5" i="14"/>
  <c r="H5" i="14"/>
  <c r="J5" i="14"/>
  <c r="L5" i="14"/>
  <c r="C6" i="14"/>
  <c r="E6" i="14"/>
  <c r="G6" i="14"/>
  <c r="I6" i="14"/>
  <c r="K6" i="14"/>
  <c r="M6" i="14"/>
  <c r="D7" i="14"/>
  <c r="F7" i="14"/>
  <c r="H7" i="14"/>
  <c r="J7" i="14"/>
  <c r="L7" i="14"/>
  <c r="C8" i="14"/>
  <c r="E8" i="14"/>
  <c r="G8" i="14"/>
  <c r="I8" i="14"/>
  <c r="K8" i="14"/>
  <c r="M8" i="14"/>
  <c r="D9" i="14"/>
  <c r="F9" i="14"/>
  <c r="H9" i="14"/>
  <c r="J9" i="14"/>
  <c r="L9" i="14"/>
  <c r="C10" i="14"/>
  <c r="B4" i="14"/>
  <c r="B6" i="14"/>
  <c r="B8" i="14"/>
  <c r="B10" i="14"/>
  <c r="B12" i="14"/>
  <c r="B14" i="14"/>
  <c r="B16" i="14"/>
  <c r="B18" i="14"/>
  <c r="B20" i="14"/>
  <c r="B22" i="14"/>
  <c r="B24" i="14"/>
  <c r="B26" i="14"/>
  <c r="B28" i="14"/>
  <c r="B30" i="14"/>
  <c r="B32" i="14"/>
  <c r="B34" i="14"/>
  <c r="C3" i="14"/>
  <c r="E3" i="14"/>
  <c r="G3" i="14"/>
  <c r="I3" i="14"/>
  <c r="K3" i="14"/>
  <c r="M3" i="14"/>
  <c r="D4" i="14"/>
  <c r="F4" i="14"/>
  <c r="H4" i="14"/>
  <c r="J4" i="14"/>
  <c r="L4" i="14"/>
  <c r="C5" i="14"/>
  <c r="E5" i="14"/>
  <c r="G5" i="14"/>
  <c r="I5" i="14"/>
  <c r="K5" i="14"/>
  <c r="M5" i="14"/>
  <c r="D6" i="14"/>
  <c r="F6" i="14"/>
  <c r="H6" i="14"/>
  <c r="J6" i="14"/>
  <c r="L6" i="14"/>
  <c r="C7" i="14"/>
  <c r="E7" i="14"/>
  <c r="G7" i="14"/>
  <c r="I7" i="14"/>
  <c r="K7" i="14"/>
  <c r="M7" i="14"/>
  <c r="D8" i="14"/>
  <c r="F8" i="14"/>
  <c r="H8" i="14"/>
  <c r="J8" i="14"/>
  <c r="L8" i="14"/>
  <c r="C9" i="14"/>
  <c r="E9" i="14"/>
  <c r="G9" i="14"/>
  <c r="I9" i="14"/>
  <c r="K9" i="14"/>
  <c r="M9" i="14"/>
  <c r="D10" i="14"/>
  <c r="M35" i="15"/>
  <c r="K35" i="15"/>
  <c r="I35" i="15"/>
  <c r="G35" i="15"/>
  <c r="E35" i="15"/>
  <c r="C35" i="15"/>
  <c r="L34" i="15"/>
  <c r="J34" i="15"/>
  <c r="H34" i="15"/>
  <c r="F34" i="15"/>
  <c r="D34" i="15"/>
  <c r="M33" i="15"/>
  <c r="K33" i="15"/>
  <c r="I33" i="15"/>
  <c r="G33" i="15"/>
  <c r="E33" i="15"/>
  <c r="C33" i="15"/>
  <c r="L32" i="15"/>
  <c r="J32" i="15"/>
  <c r="H32" i="15"/>
  <c r="F32" i="15"/>
  <c r="D32" i="15"/>
  <c r="M31" i="15"/>
  <c r="K31" i="15"/>
  <c r="I31" i="15"/>
  <c r="G31" i="15"/>
  <c r="E31" i="15"/>
  <c r="C31" i="15"/>
  <c r="L30" i="15"/>
  <c r="J30" i="15"/>
  <c r="H30" i="15"/>
  <c r="F30" i="15"/>
  <c r="D30" i="15"/>
  <c r="M29" i="15"/>
  <c r="K29" i="15"/>
  <c r="I29" i="15"/>
  <c r="G29" i="15"/>
  <c r="E29" i="15"/>
  <c r="C29" i="15"/>
  <c r="L28" i="15"/>
  <c r="J28" i="15"/>
  <c r="H28" i="15"/>
  <c r="F28" i="15"/>
  <c r="D28" i="15"/>
  <c r="M27" i="15"/>
  <c r="K27" i="15"/>
  <c r="I27" i="15"/>
  <c r="G27" i="15"/>
  <c r="E27" i="15"/>
  <c r="C27" i="15"/>
  <c r="L26" i="15"/>
  <c r="J26" i="15"/>
  <c r="H26" i="15"/>
  <c r="F26" i="15"/>
  <c r="D26" i="15"/>
  <c r="M25" i="15"/>
  <c r="K25" i="15"/>
  <c r="I25" i="15"/>
  <c r="G25" i="15"/>
  <c r="E25" i="15"/>
  <c r="C25" i="15"/>
  <c r="L24" i="15"/>
  <c r="J24" i="15"/>
  <c r="H24" i="15"/>
  <c r="F24" i="15"/>
  <c r="D24" i="15"/>
  <c r="M23" i="15"/>
  <c r="K23" i="15"/>
  <c r="I23" i="15"/>
  <c r="G23" i="15"/>
  <c r="E23" i="15"/>
  <c r="C23" i="15"/>
  <c r="L22" i="15"/>
  <c r="J22" i="15"/>
  <c r="H22" i="15"/>
  <c r="F22" i="15"/>
  <c r="D22" i="15"/>
  <c r="M21" i="15"/>
  <c r="K21" i="15"/>
  <c r="I21" i="15"/>
  <c r="G21" i="15"/>
  <c r="E21" i="15"/>
  <c r="C21" i="15"/>
  <c r="L20" i="15"/>
  <c r="J20" i="15"/>
  <c r="L35" i="15"/>
  <c r="J35" i="15"/>
  <c r="H35" i="15"/>
  <c r="F35" i="15"/>
  <c r="D35" i="15"/>
  <c r="M34" i="15"/>
  <c r="K34" i="15"/>
  <c r="I34" i="15"/>
  <c r="G34" i="15"/>
  <c r="E34" i="15"/>
  <c r="C34" i="15"/>
  <c r="L33" i="15"/>
  <c r="J33" i="15"/>
  <c r="H33" i="15"/>
  <c r="F33" i="15"/>
  <c r="D33" i="15"/>
  <c r="M32" i="15"/>
  <c r="K32" i="15"/>
  <c r="I32" i="15"/>
  <c r="G32" i="15"/>
  <c r="E32" i="15"/>
  <c r="C32" i="15"/>
  <c r="L31" i="15"/>
  <c r="J31" i="15"/>
  <c r="H31" i="15"/>
  <c r="F31" i="15"/>
  <c r="D31" i="15"/>
  <c r="M30" i="15"/>
  <c r="K30" i="15"/>
  <c r="I30" i="15"/>
  <c r="G30" i="15"/>
  <c r="E30" i="15"/>
  <c r="C30" i="15"/>
  <c r="L29" i="15"/>
  <c r="J29" i="15"/>
  <c r="H29" i="15"/>
  <c r="F29" i="15"/>
  <c r="D29" i="15"/>
  <c r="M28" i="15"/>
  <c r="K28" i="15"/>
  <c r="I28" i="15"/>
  <c r="G28" i="15"/>
  <c r="E28" i="15"/>
  <c r="C28" i="15"/>
  <c r="L27" i="15"/>
  <c r="J27" i="15"/>
  <c r="H27" i="15"/>
  <c r="F27" i="15"/>
  <c r="D27" i="15"/>
  <c r="M26" i="15"/>
  <c r="K26" i="15"/>
  <c r="I26" i="15"/>
  <c r="G26" i="15"/>
  <c r="E26" i="15"/>
  <c r="C26" i="15"/>
  <c r="L25" i="15"/>
  <c r="J25" i="15"/>
  <c r="H25" i="15"/>
  <c r="F25" i="15"/>
  <c r="D25" i="15"/>
  <c r="M24" i="15"/>
  <c r="K24" i="15"/>
  <c r="I24" i="15"/>
  <c r="G24" i="15"/>
  <c r="E24" i="15"/>
  <c r="C24" i="15"/>
  <c r="L23" i="15"/>
  <c r="J23" i="15"/>
  <c r="H23" i="15"/>
  <c r="F23" i="15"/>
  <c r="D23" i="15"/>
  <c r="M22" i="15"/>
  <c r="K22" i="15"/>
  <c r="I22" i="15"/>
  <c r="G22" i="15"/>
  <c r="E22" i="15"/>
  <c r="C22" i="15"/>
  <c r="L21" i="15"/>
  <c r="J21" i="15"/>
  <c r="H21" i="15"/>
  <c r="F21" i="15"/>
  <c r="D21" i="15"/>
  <c r="M20" i="15"/>
  <c r="K20" i="15"/>
  <c r="I20" i="15"/>
  <c r="H20" i="15"/>
  <c r="F20" i="15"/>
  <c r="D20" i="15"/>
  <c r="M19" i="15"/>
  <c r="K19" i="15"/>
  <c r="I19" i="15"/>
  <c r="G19" i="15"/>
  <c r="E19" i="15"/>
  <c r="C19" i="15"/>
  <c r="L18" i="15"/>
  <c r="J18" i="15"/>
  <c r="H18" i="15"/>
  <c r="F18" i="15"/>
  <c r="D18" i="15"/>
  <c r="M17" i="15"/>
  <c r="K17" i="15"/>
  <c r="I17" i="15"/>
  <c r="G17" i="15"/>
  <c r="E17" i="15"/>
  <c r="C17" i="15"/>
  <c r="L16" i="15"/>
  <c r="J16" i="15"/>
  <c r="H16" i="15"/>
  <c r="F16" i="15"/>
  <c r="D16" i="15"/>
  <c r="M15" i="15"/>
  <c r="K15" i="15"/>
  <c r="I15" i="15"/>
  <c r="G15" i="15"/>
  <c r="E15" i="15"/>
  <c r="C15" i="15"/>
  <c r="L14" i="15"/>
  <c r="J14" i="15"/>
  <c r="H14" i="15"/>
  <c r="F14" i="15"/>
  <c r="D14" i="15"/>
  <c r="M13" i="15"/>
  <c r="K13" i="15"/>
  <c r="I13" i="15"/>
  <c r="G13" i="15"/>
  <c r="E13" i="15"/>
  <c r="C13" i="15"/>
  <c r="L12" i="15"/>
  <c r="J12" i="15"/>
  <c r="H12" i="15"/>
  <c r="F12" i="15"/>
  <c r="D12" i="15"/>
  <c r="M11" i="15"/>
  <c r="K11" i="15"/>
  <c r="I11" i="15"/>
  <c r="G11" i="15"/>
  <c r="E11" i="15"/>
  <c r="C11" i="15"/>
  <c r="L10" i="15"/>
  <c r="J10" i="15"/>
  <c r="H10" i="15"/>
  <c r="F10" i="15"/>
  <c r="D10" i="15"/>
  <c r="M9" i="15"/>
  <c r="K9" i="15"/>
  <c r="I9" i="15"/>
  <c r="G9" i="15"/>
  <c r="E9" i="15"/>
  <c r="C9" i="15"/>
  <c r="L8" i="15"/>
  <c r="J8" i="15"/>
  <c r="H8" i="15"/>
  <c r="F8" i="15"/>
  <c r="D8" i="15"/>
  <c r="M7" i="15"/>
  <c r="K7" i="15"/>
  <c r="I7" i="15"/>
  <c r="G7" i="15"/>
  <c r="E7" i="15"/>
  <c r="C7" i="15"/>
  <c r="L6" i="15"/>
  <c r="J6" i="15"/>
  <c r="H6" i="15"/>
  <c r="F6" i="15"/>
  <c r="D6" i="15"/>
  <c r="M5" i="15"/>
  <c r="K5" i="15"/>
  <c r="I5" i="15"/>
  <c r="G5" i="15"/>
  <c r="E5" i="15"/>
  <c r="G20" i="15"/>
  <c r="E20" i="15"/>
  <c r="C20" i="15"/>
  <c r="L19" i="15"/>
  <c r="J19" i="15"/>
  <c r="H19" i="15"/>
  <c r="F19" i="15"/>
  <c r="D19" i="15"/>
  <c r="M18" i="15"/>
  <c r="K18" i="15"/>
  <c r="I18" i="15"/>
  <c r="G18" i="15"/>
  <c r="E18" i="15"/>
  <c r="C18" i="15"/>
  <c r="L17" i="15"/>
  <c r="J17" i="15"/>
  <c r="H17" i="15"/>
  <c r="F17" i="15"/>
  <c r="D17" i="15"/>
  <c r="M16" i="15"/>
  <c r="K16" i="15"/>
  <c r="I16" i="15"/>
  <c r="G16" i="15"/>
  <c r="E16" i="15"/>
  <c r="C16" i="15"/>
  <c r="L15" i="15"/>
  <c r="J15" i="15"/>
  <c r="H15" i="15"/>
  <c r="F15" i="15"/>
  <c r="D15" i="15"/>
  <c r="M14" i="15"/>
  <c r="K14" i="15"/>
  <c r="I14" i="15"/>
  <c r="G14" i="15"/>
  <c r="E14" i="15"/>
  <c r="C14" i="15"/>
  <c r="L13" i="15"/>
  <c r="J13" i="15"/>
  <c r="H13" i="15"/>
  <c r="F13" i="15"/>
  <c r="D13" i="15"/>
  <c r="M12" i="15"/>
  <c r="K12" i="15"/>
  <c r="I12" i="15"/>
  <c r="G12" i="15"/>
  <c r="E12" i="15"/>
  <c r="C12" i="15"/>
  <c r="L11" i="15"/>
  <c r="J11" i="15"/>
  <c r="H11" i="15"/>
  <c r="F11" i="15"/>
  <c r="D11" i="15"/>
  <c r="M10" i="15"/>
  <c r="K10" i="15"/>
  <c r="I10" i="15"/>
  <c r="G10" i="15"/>
  <c r="E10" i="15"/>
  <c r="C10" i="15"/>
  <c r="L9" i="15"/>
  <c r="J9" i="15"/>
  <c r="H9" i="15"/>
  <c r="F9" i="15"/>
  <c r="D9" i="15"/>
  <c r="M8" i="15"/>
  <c r="K8" i="15"/>
  <c r="I8" i="15"/>
  <c r="G8" i="15"/>
  <c r="E8" i="15"/>
  <c r="C8" i="15"/>
  <c r="L7" i="15"/>
  <c r="J7" i="15"/>
  <c r="H7" i="15"/>
  <c r="F7" i="15"/>
  <c r="D7" i="15"/>
  <c r="M6" i="15"/>
  <c r="K6" i="15"/>
  <c r="I6" i="15"/>
  <c r="G6" i="15"/>
  <c r="E6" i="15"/>
  <c r="C6" i="15"/>
  <c r="L5" i="15"/>
  <c r="J5" i="15"/>
  <c r="H5" i="15"/>
  <c r="F5" i="15"/>
  <c r="D5" i="15"/>
  <c r="B3" i="15"/>
  <c r="B5" i="15"/>
  <c r="B7" i="15"/>
  <c r="B9" i="15"/>
  <c r="B11" i="15"/>
  <c r="B13" i="15"/>
  <c r="B15" i="15"/>
  <c r="B17" i="15"/>
  <c r="B19" i="15"/>
  <c r="B21" i="15"/>
  <c r="B23" i="15"/>
  <c r="B25" i="15"/>
  <c r="B27" i="15"/>
  <c r="B29" i="15"/>
  <c r="B31" i="15"/>
  <c r="B33" i="15"/>
  <c r="B35" i="15"/>
  <c r="D3" i="15"/>
  <c r="F3" i="15"/>
  <c r="H3" i="15"/>
  <c r="J3" i="15"/>
  <c r="L3" i="15"/>
  <c r="C4" i="15"/>
  <c r="E4" i="15"/>
  <c r="G4" i="15"/>
  <c r="I4" i="15"/>
  <c r="K4" i="15"/>
  <c r="M4" i="15"/>
  <c r="B4" i="15"/>
  <c r="B6" i="15"/>
  <c r="B8" i="15"/>
  <c r="B10" i="15"/>
  <c r="B12" i="15"/>
  <c r="B14" i="15"/>
  <c r="B16" i="15"/>
  <c r="B18" i="15"/>
  <c r="B20" i="15"/>
  <c r="B22" i="15"/>
  <c r="B24" i="15"/>
  <c r="B26" i="15"/>
  <c r="B28" i="15"/>
  <c r="B30" i="15"/>
  <c r="B32" i="15"/>
  <c r="B34" i="15"/>
  <c r="C3" i="15"/>
  <c r="E3" i="15"/>
  <c r="G3" i="15"/>
  <c r="I3" i="15"/>
  <c r="K3" i="15"/>
  <c r="M3" i="15"/>
  <c r="D4" i="15"/>
  <c r="F4" i="15"/>
  <c r="H4" i="15"/>
  <c r="J4" i="15"/>
  <c r="L4" i="15"/>
  <c r="C5" i="15"/>
  <c r="K39" i="13"/>
  <c r="J39" i="13"/>
  <c r="I39" i="13"/>
  <c r="H39" i="13"/>
  <c r="G39" i="13"/>
  <c r="F39" i="13"/>
  <c r="E39" i="13"/>
  <c r="D39" i="13"/>
  <c r="C39" i="13"/>
  <c r="B39" i="13"/>
  <c r="AA77" i="12"/>
  <c r="Z77" i="12"/>
  <c r="Y77" i="12"/>
  <c r="X77" i="12"/>
  <c r="W77" i="12"/>
  <c r="V77" i="12"/>
  <c r="U77" i="12"/>
  <c r="AA76" i="12"/>
  <c r="Z76" i="12"/>
  <c r="Y76" i="12"/>
  <c r="X76" i="12"/>
  <c r="W76" i="12"/>
  <c r="V76" i="12"/>
  <c r="U76" i="12"/>
  <c r="AA75" i="12"/>
  <c r="Z75" i="12"/>
  <c r="Y75" i="12"/>
  <c r="X75" i="12"/>
  <c r="W75" i="12"/>
  <c r="V75" i="12"/>
  <c r="U75" i="12"/>
  <c r="AA74" i="12"/>
  <c r="Z74" i="12"/>
  <c r="Y74" i="12"/>
  <c r="X74" i="12"/>
  <c r="W74" i="12"/>
  <c r="V74" i="12"/>
  <c r="U74" i="12"/>
  <c r="AA73" i="12"/>
  <c r="Z73" i="12"/>
  <c r="Y73" i="12"/>
  <c r="X73" i="12"/>
  <c r="W73" i="12"/>
  <c r="V73" i="12"/>
  <c r="U73" i="12"/>
  <c r="AA72" i="12"/>
  <c r="Z72" i="12"/>
  <c r="Y72" i="12"/>
  <c r="X72" i="12"/>
  <c r="W72" i="12"/>
  <c r="V72" i="12"/>
  <c r="U72" i="12"/>
  <c r="AA71" i="12"/>
  <c r="Z71" i="12"/>
  <c r="Y71" i="12"/>
  <c r="X71" i="12"/>
  <c r="W71" i="12"/>
  <c r="V71" i="12"/>
  <c r="U71" i="12"/>
  <c r="AA70" i="12"/>
  <c r="Z70" i="12"/>
  <c r="Y70" i="12"/>
  <c r="X70" i="12"/>
  <c r="W70" i="12"/>
  <c r="V70" i="12"/>
  <c r="U70" i="12"/>
  <c r="AA69" i="12"/>
  <c r="Z69" i="12"/>
  <c r="Y69" i="12"/>
  <c r="X69" i="12"/>
  <c r="W69" i="12"/>
  <c r="V69" i="12"/>
  <c r="U69" i="12"/>
  <c r="AA68" i="12"/>
  <c r="Z68" i="12"/>
  <c r="Y68" i="12"/>
  <c r="X68" i="12"/>
  <c r="W68" i="12"/>
  <c r="V68" i="12"/>
  <c r="U68" i="12"/>
  <c r="AA67" i="12"/>
  <c r="Z67" i="12"/>
  <c r="Y67" i="12"/>
  <c r="X67" i="12"/>
  <c r="W67" i="12"/>
  <c r="V67" i="12"/>
  <c r="U67" i="12"/>
  <c r="AA66" i="12"/>
  <c r="Z66" i="12"/>
  <c r="Y66" i="12"/>
  <c r="X66" i="12"/>
  <c r="W66" i="12"/>
  <c r="V66" i="12"/>
  <c r="U66" i="12"/>
  <c r="AA65" i="12"/>
  <c r="Z65" i="12"/>
  <c r="Y65" i="12"/>
  <c r="X65" i="12"/>
  <c r="W65" i="12"/>
  <c r="V65" i="12"/>
  <c r="U65" i="12"/>
  <c r="AA64" i="12"/>
  <c r="Z64" i="12"/>
  <c r="Y64" i="12"/>
  <c r="X64" i="12"/>
  <c r="W64" i="12"/>
  <c r="V64" i="12"/>
  <c r="U64" i="12"/>
  <c r="AA63" i="12"/>
  <c r="Z63" i="12"/>
  <c r="Y63" i="12"/>
  <c r="X63" i="12"/>
  <c r="W63" i="12"/>
  <c r="V63" i="12"/>
  <c r="U63" i="12"/>
  <c r="AA62" i="12"/>
  <c r="Z62" i="12"/>
  <c r="Y62" i="12"/>
  <c r="X62" i="12"/>
  <c r="W62" i="12"/>
  <c r="V62" i="12"/>
  <c r="U62" i="12"/>
  <c r="AA61" i="12"/>
  <c r="Z61" i="12"/>
  <c r="Y61" i="12"/>
  <c r="X61" i="12"/>
  <c r="W61" i="12"/>
  <c r="V61" i="12"/>
  <c r="U61" i="12"/>
  <c r="AA60" i="12"/>
  <c r="Z60" i="12"/>
  <c r="Y60" i="12"/>
  <c r="X60" i="12"/>
  <c r="W60" i="12"/>
  <c r="V60" i="12"/>
  <c r="U60" i="12"/>
  <c r="AA59" i="12"/>
  <c r="Z59" i="12"/>
  <c r="Y59" i="12"/>
  <c r="X59" i="12"/>
  <c r="W59" i="12"/>
  <c r="V59" i="12"/>
  <c r="U59" i="12"/>
  <c r="AA58" i="12"/>
  <c r="Z58" i="12"/>
  <c r="Y58" i="12"/>
  <c r="X58" i="12"/>
  <c r="W58" i="12"/>
  <c r="V58" i="12"/>
  <c r="U58" i="12"/>
  <c r="AA57" i="12"/>
  <c r="Z57" i="12"/>
  <c r="Y57" i="12"/>
  <c r="X57" i="12"/>
  <c r="W57" i="12"/>
  <c r="V57" i="12"/>
  <c r="U57" i="12"/>
  <c r="AA56" i="12"/>
  <c r="Z56" i="12"/>
  <c r="Y56" i="12"/>
  <c r="X56" i="12"/>
  <c r="W56" i="12"/>
  <c r="V56" i="12"/>
  <c r="U56" i="12"/>
  <c r="AA55" i="12"/>
  <c r="Z55" i="12"/>
  <c r="Y55" i="12"/>
  <c r="X55" i="12"/>
  <c r="W55" i="12"/>
  <c r="V55" i="12"/>
  <c r="U55" i="12"/>
  <c r="AA54" i="12"/>
  <c r="Z54" i="12"/>
  <c r="Y54" i="12"/>
  <c r="X54" i="12"/>
  <c r="W54" i="12"/>
  <c r="V54" i="12"/>
  <c r="U54" i="12"/>
  <c r="AA53" i="12"/>
  <c r="Z53" i="12"/>
  <c r="Y53" i="12"/>
  <c r="X53" i="12"/>
  <c r="W53" i="12"/>
  <c r="V53" i="12"/>
  <c r="U53" i="12"/>
  <c r="AA52" i="12"/>
  <c r="Z52" i="12"/>
  <c r="Y52" i="12"/>
  <c r="X52" i="12"/>
  <c r="W52" i="12"/>
  <c r="V52" i="12"/>
  <c r="U52" i="12"/>
  <c r="AA51" i="12"/>
  <c r="Z51" i="12"/>
  <c r="Y51" i="12"/>
  <c r="X51" i="12"/>
  <c r="W51" i="12"/>
  <c r="V51" i="12"/>
  <c r="U51" i="12"/>
  <c r="AA50" i="12"/>
  <c r="Z50" i="12"/>
  <c r="Y50" i="12"/>
  <c r="X50" i="12"/>
  <c r="W50" i="12"/>
  <c r="V50" i="12"/>
  <c r="U50" i="12"/>
  <c r="AA49" i="12"/>
  <c r="Z49" i="12"/>
  <c r="Y49" i="12"/>
  <c r="X49" i="12"/>
  <c r="W49" i="12"/>
  <c r="V49" i="12"/>
  <c r="U49" i="12"/>
  <c r="AA48" i="12"/>
  <c r="Z48" i="12"/>
  <c r="Y48" i="12"/>
  <c r="X48" i="12"/>
  <c r="W48" i="12"/>
  <c r="V48" i="12"/>
  <c r="U48" i="12"/>
  <c r="AA47" i="12"/>
  <c r="Z47" i="12"/>
  <c r="Y47" i="12"/>
  <c r="X47" i="12"/>
  <c r="W47" i="12"/>
  <c r="V47" i="12"/>
  <c r="U47" i="12"/>
  <c r="AA46" i="12"/>
  <c r="Z46" i="12"/>
  <c r="Y46" i="12"/>
  <c r="X46" i="12"/>
  <c r="W46" i="12"/>
  <c r="V46" i="12"/>
  <c r="U46" i="12"/>
  <c r="AA45" i="12"/>
  <c r="Z45" i="12"/>
  <c r="Y45" i="12"/>
  <c r="X45" i="12"/>
  <c r="W45" i="12"/>
  <c r="V45" i="12"/>
  <c r="U45"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S77" i="12"/>
  <c r="R77" i="12"/>
  <c r="S76" i="12"/>
  <c r="R76" i="12"/>
  <c r="S75" i="12"/>
  <c r="R75" i="12"/>
  <c r="S74" i="12"/>
  <c r="R74" i="12"/>
  <c r="S73" i="12"/>
  <c r="R73" i="12"/>
  <c r="S72" i="12"/>
  <c r="R72" i="12"/>
  <c r="S71" i="12"/>
  <c r="R71" i="12"/>
  <c r="S70" i="12"/>
  <c r="R70" i="12"/>
  <c r="S69" i="12"/>
  <c r="R69" i="12"/>
  <c r="S68" i="12"/>
  <c r="R68" i="12"/>
  <c r="S67" i="12"/>
  <c r="R67" i="12"/>
  <c r="S66" i="12"/>
  <c r="R66" i="12"/>
  <c r="S65" i="12"/>
  <c r="R65" i="12"/>
  <c r="S64" i="12"/>
  <c r="R64" i="12"/>
  <c r="S63" i="12"/>
  <c r="R63" i="12"/>
  <c r="S62" i="12"/>
  <c r="R62" i="12"/>
  <c r="S61" i="12"/>
  <c r="R61" i="12"/>
  <c r="S60" i="12"/>
  <c r="R60" i="12"/>
  <c r="S59" i="12"/>
  <c r="R59" i="12"/>
  <c r="S58" i="12"/>
  <c r="R58" i="12"/>
  <c r="S57" i="12"/>
  <c r="R57" i="12"/>
  <c r="S56" i="12"/>
  <c r="R56" i="12"/>
  <c r="S55" i="12"/>
  <c r="R55" i="12"/>
  <c r="S54" i="12"/>
  <c r="R54" i="12"/>
  <c r="S53" i="12"/>
  <c r="R53" i="12"/>
  <c r="S52" i="12"/>
  <c r="R52" i="12"/>
  <c r="S51" i="12"/>
  <c r="R51" i="12"/>
  <c r="S50" i="12"/>
  <c r="R50" i="12"/>
  <c r="S49" i="12"/>
  <c r="R49" i="12"/>
  <c r="S48" i="12"/>
  <c r="R48" i="12"/>
  <c r="S47" i="12"/>
  <c r="R47" i="12"/>
  <c r="S46" i="12"/>
  <c r="R46" i="12"/>
  <c r="S45" i="12"/>
  <c r="R45" i="12"/>
  <c r="K39" i="12"/>
  <c r="J39" i="12"/>
  <c r="I39" i="12"/>
  <c r="H39" i="12"/>
  <c r="G39" i="12"/>
  <c r="F39" i="12"/>
  <c r="E39" i="12"/>
  <c r="F6" i="12" s="1"/>
  <c r="D39" i="12"/>
  <c r="C39" i="12"/>
  <c r="B39" i="12"/>
  <c r="AA77" i="11"/>
  <c r="Z77" i="11"/>
  <c r="Y77" i="11"/>
  <c r="X77" i="11"/>
  <c r="W77" i="11"/>
  <c r="V77" i="11"/>
  <c r="U77" i="11"/>
  <c r="AA76" i="11"/>
  <c r="Z76" i="11"/>
  <c r="Y76" i="11"/>
  <c r="X76" i="11"/>
  <c r="W76" i="11"/>
  <c r="V76" i="11"/>
  <c r="U76" i="11"/>
  <c r="AA75" i="11"/>
  <c r="Z75" i="11"/>
  <c r="Y75" i="11"/>
  <c r="X75" i="11"/>
  <c r="W75" i="11"/>
  <c r="V75" i="11"/>
  <c r="U75" i="11"/>
  <c r="AA74" i="11"/>
  <c r="Z74" i="11"/>
  <c r="Y74" i="11"/>
  <c r="X74" i="11"/>
  <c r="W74" i="11"/>
  <c r="V74" i="11"/>
  <c r="U74" i="11"/>
  <c r="AA73" i="11"/>
  <c r="Z73" i="11"/>
  <c r="Y73" i="11"/>
  <c r="X73" i="11"/>
  <c r="W73" i="11"/>
  <c r="V73" i="11"/>
  <c r="U73" i="11"/>
  <c r="AA72" i="11"/>
  <c r="Z72" i="11"/>
  <c r="Y72" i="11"/>
  <c r="X72" i="11"/>
  <c r="W72" i="11"/>
  <c r="V72" i="11"/>
  <c r="U72" i="11"/>
  <c r="AA71" i="11"/>
  <c r="Z71" i="11"/>
  <c r="Y71" i="11"/>
  <c r="X71" i="11"/>
  <c r="W71" i="11"/>
  <c r="V71" i="11"/>
  <c r="U71" i="11"/>
  <c r="AA70" i="11"/>
  <c r="Z70" i="11"/>
  <c r="Y70" i="11"/>
  <c r="X70" i="11"/>
  <c r="W70" i="11"/>
  <c r="V70" i="11"/>
  <c r="U70" i="11"/>
  <c r="AA69" i="11"/>
  <c r="Z69" i="11"/>
  <c r="Y69" i="11"/>
  <c r="X69" i="11"/>
  <c r="W69" i="11"/>
  <c r="V69" i="11"/>
  <c r="U69" i="11"/>
  <c r="AA68" i="11"/>
  <c r="Z68" i="11"/>
  <c r="Y68" i="11"/>
  <c r="X68" i="11"/>
  <c r="W68" i="11"/>
  <c r="V68" i="11"/>
  <c r="U68" i="11"/>
  <c r="AA67" i="11"/>
  <c r="Z67" i="11"/>
  <c r="Y67" i="11"/>
  <c r="X67" i="11"/>
  <c r="W67" i="11"/>
  <c r="V67" i="11"/>
  <c r="U67" i="11"/>
  <c r="AA66" i="11"/>
  <c r="Z66" i="11"/>
  <c r="Y66" i="11"/>
  <c r="X66" i="11"/>
  <c r="W66" i="11"/>
  <c r="V66" i="11"/>
  <c r="U66" i="11"/>
  <c r="AA65" i="11"/>
  <c r="Z65" i="11"/>
  <c r="Y65" i="11"/>
  <c r="X65" i="11"/>
  <c r="W65" i="11"/>
  <c r="V65" i="11"/>
  <c r="U65" i="11"/>
  <c r="AA64" i="11"/>
  <c r="Z64" i="11"/>
  <c r="Y64" i="11"/>
  <c r="X64" i="11"/>
  <c r="W64" i="11"/>
  <c r="V64" i="11"/>
  <c r="U64" i="11"/>
  <c r="AA63" i="11"/>
  <c r="Z63" i="11"/>
  <c r="Y63" i="11"/>
  <c r="X63" i="11"/>
  <c r="W63" i="11"/>
  <c r="V63" i="11"/>
  <c r="U63" i="11"/>
  <c r="AA62" i="11"/>
  <c r="Z62" i="11"/>
  <c r="Y62" i="11"/>
  <c r="X62" i="11"/>
  <c r="W62" i="11"/>
  <c r="V62" i="11"/>
  <c r="U62" i="11"/>
  <c r="AA61" i="11"/>
  <c r="Z61" i="11"/>
  <c r="Y61" i="11"/>
  <c r="X61" i="11"/>
  <c r="W61" i="11"/>
  <c r="V61" i="11"/>
  <c r="U61" i="11"/>
  <c r="AA60" i="11"/>
  <c r="Z60" i="11"/>
  <c r="Y60" i="11"/>
  <c r="X60" i="11"/>
  <c r="W60" i="11"/>
  <c r="V60" i="11"/>
  <c r="U60" i="11"/>
  <c r="AA59" i="11"/>
  <c r="Z59" i="11"/>
  <c r="Y59" i="11"/>
  <c r="X59" i="11"/>
  <c r="W59" i="11"/>
  <c r="V59" i="11"/>
  <c r="U59" i="11"/>
  <c r="AA58" i="11"/>
  <c r="Z58" i="11"/>
  <c r="Y58" i="11"/>
  <c r="X58" i="11"/>
  <c r="W58" i="11"/>
  <c r="V58" i="11"/>
  <c r="U58" i="11"/>
  <c r="AA57" i="11"/>
  <c r="Z57" i="11"/>
  <c r="Y57" i="11"/>
  <c r="X57" i="11"/>
  <c r="W57" i="11"/>
  <c r="V57" i="11"/>
  <c r="U57" i="11"/>
  <c r="AA56" i="11"/>
  <c r="Z56" i="11"/>
  <c r="Y56" i="11"/>
  <c r="X56" i="11"/>
  <c r="W56" i="11"/>
  <c r="V56" i="11"/>
  <c r="U56" i="11"/>
  <c r="AA55" i="11"/>
  <c r="Z55" i="11"/>
  <c r="Y55" i="11"/>
  <c r="X55" i="11"/>
  <c r="W55" i="11"/>
  <c r="V55" i="11"/>
  <c r="U55" i="11"/>
  <c r="AA54" i="11"/>
  <c r="Z54" i="11"/>
  <c r="Y54" i="11"/>
  <c r="X54" i="11"/>
  <c r="W54" i="11"/>
  <c r="V54" i="11"/>
  <c r="U54" i="11"/>
  <c r="AA53" i="11"/>
  <c r="Z53" i="11"/>
  <c r="Y53" i="11"/>
  <c r="X53" i="11"/>
  <c r="W53" i="11"/>
  <c r="V53" i="11"/>
  <c r="U53" i="11"/>
  <c r="AA52" i="11"/>
  <c r="Z52" i="11"/>
  <c r="Y52" i="11"/>
  <c r="X52" i="11"/>
  <c r="W52" i="11"/>
  <c r="V52" i="11"/>
  <c r="U52" i="11"/>
  <c r="AA51" i="11"/>
  <c r="Z51" i="11"/>
  <c r="Y51" i="11"/>
  <c r="X51" i="11"/>
  <c r="W51" i="11"/>
  <c r="V51" i="11"/>
  <c r="U51" i="11"/>
  <c r="AA50" i="11"/>
  <c r="Z50" i="11"/>
  <c r="Y50" i="11"/>
  <c r="X50" i="11"/>
  <c r="W50" i="11"/>
  <c r="V50" i="11"/>
  <c r="U50" i="11"/>
  <c r="AA49" i="11"/>
  <c r="Z49" i="11"/>
  <c r="Y49" i="11"/>
  <c r="X49" i="11"/>
  <c r="W49" i="11"/>
  <c r="V49" i="11"/>
  <c r="U49" i="11"/>
  <c r="AA48" i="11"/>
  <c r="Z48" i="11"/>
  <c r="Y48" i="11"/>
  <c r="X48" i="11"/>
  <c r="W48" i="11"/>
  <c r="V48" i="11"/>
  <c r="U48" i="11"/>
  <c r="AA47" i="11"/>
  <c r="Z47" i="11"/>
  <c r="Y47" i="11"/>
  <c r="X47" i="11"/>
  <c r="W47" i="11"/>
  <c r="V47" i="11"/>
  <c r="U47" i="11"/>
  <c r="AA46" i="11"/>
  <c r="Z46" i="11"/>
  <c r="Y46" i="11"/>
  <c r="X46" i="11"/>
  <c r="W46" i="11"/>
  <c r="V46" i="11"/>
  <c r="U46" i="11"/>
  <c r="AA45" i="11"/>
  <c r="Z45" i="11"/>
  <c r="Y45" i="11"/>
  <c r="X45" i="11"/>
  <c r="W45" i="11"/>
  <c r="V45" i="11"/>
  <c r="U45" i="11"/>
  <c r="S77" i="11"/>
  <c r="R77" i="11"/>
  <c r="S76" i="11"/>
  <c r="R76" i="11"/>
  <c r="S75" i="11"/>
  <c r="R75" i="11"/>
  <c r="S74" i="11"/>
  <c r="R74" i="11"/>
  <c r="S73" i="11"/>
  <c r="R73" i="11"/>
  <c r="S72" i="11"/>
  <c r="R72" i="11"/>
  <c r="S71" i="11"/>
  <c r="R71" i="11"/>
  <c r="S70" i="11"/>
  <c r="R70" i="11"/>
  <c r="S69" i="11"/>
  <c r="R69" i="11"/>
  <c r="S68" i="11"/>
  <c r="R68" i="11"/>
  <c r="S67" i="11"/>
  <c r="R67" i="11"/>
  <c r="S66" i="11"/>
  <c r="R66" i="11"/>
  <c r="S65" i="11"/>
  <c r="R65" i="11"/>
  <c r="S64" i="11"/>
  <c r="R64" i="11"/>
  <c r="S63" i="11"/>
  <c r="R63" i="11"/>
  <c r="S62" i="11"/>
  <c r="R62" i="11"/>
  <c r="S61" i="11"/>
  <c r="R61" i="11"/>
  <c r="S60" i="11"/>
  <c r="R60" i="11"/>
  <c r="S59" i="11"/>
  <c r="R59" i="11"/>
  <c r="S58" i="11"/>
  <c r="R58" i="11"/>
  <c r="S57" i="11"/>
  <c r="R57" i="11"/>
  <c r="S56" i="11"/>
  <c r="R56" i="11"/>
  <c r="S55" i="11"/>
  <c r="R55" i="11"/>
  <c r="S54" i="11"/>
  <c r="R54" i="11"/>
  <c r="S53" i="11"/>
  <c r="R53" i="11"/>
  <c r="S52" i="11"/>
  <c r="R52" i="11"/>
  <c r="S51" i="11"/>
  <c r="R51" i="11"/>
  <c r="S50" i="11"/>
  <c r="R50" i="11"/>
  <c r="S49" i="11"/>
  <c r="R49" i="11"/>
  <c r="S48" i="11"/>
  <c r="R48" i="11"/>
  <c r="S47" i="11"/>
  <c r="R47" i="11"/>
  <c r="S46" i="11"/>
  <c r="R46" i="11"/>
  <c r="S45" i="11"/>
  <c r="R45"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T77" i="11"/>
  <c r="T76" i="11"/>
  <c r="T75" i="11"/>
  <c r="T74" i="11"/>
  <c r="T73" i="11"/>
  <c r="T72" i="11"/>
  <c r="T71" i="11"/>
  <c r="T70" i="11"/>
  <c r="T69" i="11"/>
  <c r="T68" i="11"/>
  <c r="T67" i="11"/>
  <c r="T66" i="11"/>
  <c r="T65" i="11"/>
  <c r="T64" i="11"/>
  <c r="T63" i="11"/>
  <c r="T62" i="11"/>
  <c r="T61" i="11"/>
  <c r="T60" i="11"/>
  <c r="T59" i="11"/>
  <c r="T58" i="11"/>
  <c r="T57" i="11"/>
  <c r="T56" i="11"/>
  <c r="T55" i="11"/>
  <c r="T54" i="11"/>
  <c r="T53" i="11"/>
  <c r="T52" i="11"/>
  <c r="T51" i="11"/>
  <c r="T50" i="11"/>
  <c r="T49" i="11"/>
  <c r="T48" i="11"/>
  <c r="T47" i="11"/>
  <c r="T46" i="11"/>
  <c r="T45" i="11"/>
  <c r="K39" i="11"/>
  <c r="J39" i="11"/>
  <c r="I39" i="11"/>
  <c r="H39" i="11"/>
  <c r="G39" i="11"/>
  <c r="F39" i="11"/>
  <c r="M35" i="11" s="1"/>
  <c r="E39" i="11"/>
  <c r="D39" i="11"/>
  <c r="C39" i="11"/>
  <c r="B39" i="11"/>
  <c r="AA77" i="18"/>
  <c r="Z77" i="18"/>
  <c r="Y77" i="18"/>
  <c r="X77" i="18"/>
  <c r="W77" i="18"/>
  <c r="V77" i="18"/>
  <c r="U77" i="18"/>
  <c r="AA76" i="18"/>
  <c r="Z76" i="18"/>
  <c r="Y76" i="18"/>
  <c r="X76" i="18"/>
  <c r="W76" i="18"/>
  <c r="V76" i="18"/>
  <c r="U76" i="18"/>
  <c r="AA75" i="18"/>
  <c r="Z75" i="18"/>
  <c r="Y75" i="18"/>
  <c r="X75" i="18"/>
  <c r="W75" i="18"/>
  <c r="V75" i="18"/>
  <c r="U75" i="18"/>
  <c r="AA74" i="18"/>
  <c r="Z74" i="18"/>
  <c r="Y74" i="18"/>
  <c r="X74" i="18"/>
  <c r="W74" i="18"/>
  <c r="V74" i="18"/>
  <c r="U74" i="18"/>
  <c r="AA73" i="18"/>
  <c r="Z73" i="18"/>
  <c r="Y73" i="18"/>
  <c r="X73" i="18"/>
  <c r="W73" i="18"/>
  <c r="V73" i="18"/>
  <c r="U73" i="18"/>
  <c r="AA72" i="18"/>
  <c r="Z72" i="18"/>
  <c r="Y72" i="18"/>
  <c r="X72" i="18"/>
  <c r="W72" i="18"/>
  <c r="V72" i="18"/>
  <c r="U72" i="18"/>
  <c r="AA71" i="18"/>
  <c r="Z71" i="18"/>
  <c r="Y71" i="18"/>
  <c r="X71" i="18"/>
  <c r="W71" i="18"/>
  <c r="V71" i="18"/>
  <c r="U71" i="18"/>
  <c r="AA70" i="18"/>
  <c r="Z70" i="18"/>
  <c r="Y70" i="18"/>
  <c r="X70" i="18"/>
  <c r="W70" i="18"/>
  <c r="V70" i="18"/>
  <c r="U70" i="18"/>
  <c r="AA69" i="18"/>
  <c r="Z69" i="18"/>
  <c r="Y69" i="18"/>
  <c r="X69" i="18"/>
  <c r="W69" i="18"/>
  <c r="V69" i="18"/>
  <c r="U69" i="18"/>
  <c r="AA68" i="18"/>
  <c r="Z68" i="18"/>
  <c r="Y68" i="18"/>
  <c r="X68" i="18"/>
  <c r="W68" i="18"/>
  <c r="V68" i="18"/>
  <c r="U68" i="18"/>
  <c r="AA67" i="18"/>
  <c r="Z67" i="18"/>
  <c r="Y67" i="18"/>
  <c r="X67" i="18"/>
  <c r="W67" i="18"/>
  <c r="V67" i="18"/>
  <c r="U67" i="18"/>
  <c r="AA66" i="18"/>
  <c r="Z66" i="18"/>
  <c r="Y66" i="18"/>
  <c r="X66" i="18"/>
  <c r="W66" i="18"/>
  <c r="V66" i="18"/>
  <c r="U66" i="18"/>
  <c r="AA65" i="18"/>
  <c r="Z65" i="18"/>
  <c r="Y65" i="18"/>
  <c r="X65" i="18"/>
  <c r="W65" i="18"/>
  <c r="V65" i="18"/>
  <c r="U65" i="18"/>
  <c r="AA64" i="18"/>
  <c r="Z64" i="18"/>
  <c r="Y64" i="18"/>
  <c r="X64" i="18"/>
  <c r="W64" i="18"/>
  <c r="V64" i="18"/>
  <c r="U64" i="18"/>
  <c r="AA63" i="18"/>
  <c r="Z63" i="18"/>
  <c r="Y63" i="18"/>
  <c r="X63" i="18"/>
  <c r="W63" i="18"/>
  <c r="V63" i="18"/>
  <c r="U63" i="18"/>
  <c r="AA62" i="18"/>
  <c r="Z62" i="18"/>
  <c r="Y62" i="18"/>
  <c r="X62" i="18"/>
  <c r="W62" i="18"/>
  <c r="V62" i="18"/>
  <c r="U62" i="18"/>
  <c r="AA61" i="18"/>
  <c r="Z61" i="18"/>
  <c r="Y61" i="18"/>
  <c r="X61" i="18"/>
  <c r="W61" i="18"/>
  <c r="V61" i="18"/>
  <c r="U61" i="18"/>
  <c r="AA60" i="18"/>
  <c r="Z60" i="18"/>
  <c r="Y60" i="18"/>
  <c r="X60" i="18"/>
  <c r="W60" i="18"/>
  <c r="V60" i="18"/>
  <c r="U60" i="18"/>
  <c r="AA59" i="18"/>
  <c r="Z59" i="18"/>
  <c r="Y59" i="18"/>
  <c r="X59" i="18"/>
  <c r="W59" i="18"/>
  <c r="V59" i="18"/>
  <c r="U59" i="18"/>
  <c r="AA58" i="18"/>
  <c r="Z58" i="18"/>
  <c r="Y58" i="18"/>
  <c r="X58" i="18"/>
  <c r="W58" i="18"/>
  <c r="V58" i="18"/>
  <c r="U58" i="18"/>
  <c r="AA57" i="18"/>
  <c r="Z57" i="18"/>
  <c r="Y57" i="18"/>
  <c r="X57" i="18"/>
  <c r="W57" i="18"/>
  <c r="V57" i="18"/>
  <c r="U57" i="18"/>
  <c r="AA56" i="18"/>
  <c r="Z56" i="18"/>
  <c r="Y56" i="18"/>
  <c r="X56" i="18"/>
  <c r="W56" i="18"/>
  <c r="V56" i="18"/>
  <c r="U56" i="18"/>
  <c r="AA55" i="18"/>
  <c r="Z55" i="18"/>
  <c r="Y55" i="18"/>
  <c r="X55" i="18"/>
  <c r="W55" i="18"/>
  <c r="V55" i="18"/>
  <c r="U55" i="18"/>
  <c r="AA54" i="18"/>
  <c r="Z54" i="18"/>
  <c r="Y54" i="18"/>
  <c r="X54" i="18"/>
  <c r="W54" i="18"/>
  <c r="V54" i="18"/>
  <c r="U54" i="18"/>
  <c r="AA53" i="18"/>
  <c r="Z53" i="18"/>
  <c r="Y53" i="18"/>
  <c r="X53" i="18"/>
  <c r="W53" i="18"/>
  <c r="V53" i="18"/>
  <c r="U53" i="18"/>
  <c r="AA52" i="18"/>
  <c r="Z52" i="18"/>
  <c r="Y52" i="18"/>
  <c r="X52" i="18"/>
  <c r="W52" i="18"/>
  <c r="V52" i="18"/>
  <c r="U52" i="18"/>
  <c r="AA51" i="18"/>
  <c r="Z51" i="18"/>
  <c r="Y51" i="18"/>
  <c r="X51" i="18"/>
  <c r="W51" i="18"/>
  <c r="V51" i="18"/>
  <c r="U51" i="18"/>
  <c r="AA50" i="18"/>
  <c r="Z50" i="18"/>
  <c r="Y50" i="18"/>
  <c r="X50" i="18"/>
  <c r="W50" i="18"/>
  <c r="V50" i="18"/>
  <c r="U50" i="18"/>
  <c r="AA49" i="18"/>
  <c r="Z49" i="18"/>
  <c r="Y49" i="18"/>
  <c r="X49" i="18"/>
  <c r="W49" i="18"/>
  <c r="V49" i="18"/>
  <c r="U49" i="18"/>
  <c r="AA48" i="18"/>
  <c r="Z48" i="18"/>
  <c r="Y48" i="18"/>
  <c r="X48" i="18"/>
  <c r="W48" i="18"/>
  <c r="V48" i="18"/>
  <c r="U48" i="18"/>
  <c r="AA47" i="18"/>
  <c r="Z47" i="18"/>
  <c r="Y47" i="18"/>
  <c r="X47" i="18"/>
  <c r="W47" i="18"/>
  <c r="V47" i="18"/>
  <c r="U47" i="18"/>
  <c r="AA46" i="18"/>
  <c r="Z46" i="18"/>
  <c r="Y46" i="18"/>
  <c r="X46" i="18"/>
  <c r="W46" i="18"/>
  <c r="V46" i="18"/>
  <c r="U46" i="18"/>
  <c r="AA45" i="18"/>
  <c r="Z45" i="18"/>
  <c r="Y45" i="18"/>
  <c r="X45" i="18"/>
  <c r="W45" i="18"/>
  <c r="V45" i="18"/>
  <c r="U45" i="18"/>
  <c r="T77" i="18"/>
  <c r="T76" i="18"/>
  <c r="T75" i="18"/>
  <c r="T74" i="18"/>
  <c r="T73" i="18"/>
  <c r="T72" i="18"/>
  <c r="T71" i="18"/>
  <c r="T70" i="18"/>
  <c r="T69" i="18"/>
  <c r="T68" i="18"/>
  <c r="T67" i="18"/>
  <c r="T66" i="18"/>
  <c r="T65" i="18"/>
  <c r="T64" i="18"/>
  <c r="T63" i="18"/>
  <c r="T62" i="18"/>
  <c r="T61" i="18"/>
  <c r="T60" i="18"/>
  <c r="T59" i="18"/>
  <c r="T58" i="18"/>
  <c r="T57" i="18"/>
  <c r="T56" i="18"/>
  <c r="T55" i="18"/>
  <c r="T54" i="18"/>
  <c r="T53" i="18"/>
  <c r="T52" i="18"/>
  <c r="T51" i="18"/>
  <c r="T50" i="18"/>
  <c r="T49" i="18"/>
  <c r="T48" i="18"/>
  <c r="T47" i="18"/>
  <c r="T46" i="18"/>
  <c r="T45" i="18"/>
  <c r="P77" i="18"/>
  <c r="P76" i="18"/>
  <c r="P75" i="18"/>
  <c r="P74" i="18"/>
  <c r="P73" i="18"/>
  <c r="P72" i="18"/>
  <c r="P71" i="18"/>
  <c r="P70" i="18"/>
  <c r="P69" i="18"/>
  <c r="P68" i="18"/>
  <c r="P67" i="18"/>
  <c r="P66" i="18"/>
  <c r="P65" i="18"/>
  <c r="P64" i="18"/>
  <c r="P63" i="18"/>
  <c r="P62" i="18"/>
  <c r="P61" i="18"/>
  <c r="P60" i="18"/>
  <c r="P59" i="18"/>
  <c r="P58" i="18"/>
  <c r="P57" i="18"/>
  <c r="P56" i="18"/>
  <c r="P55" i="18"/>
  <c r="P54" i="18"/>
  <c r="P53" i="18"/>
  <c r="P52" i="18"/>
  <c r="P51" i="18"/>
  <c r="P50" i="18"/>
  <c r="P49" i="18"/>
  <c r="P48" i="18"/>
  <c r="P47" i="18"/>
  <c r="P46" i="18"/>
  <c r="P45" i="18"/>
  <c r="S77" i="18"/>
  <c r="R77" i="18"/>
  <c r="Q77" i="18"/>
  <c r="S76" i="18"/>
  <c r="R76" i="18"/>
  <c r="Q76" i="18"/>
  <c r="S75" i="18"/>
  <c r="R75" i="18"/>
  <c r="Q75" i="18"/>
  <c r="S74" i="18"/>
  <c r="R74" i="18"/>
  <c r="Q74" i="18"/>
  <c r="S73" i="18"/>
  <c r="R73" i="18"/>
  <c r="Q73" i="18"/>
  <c r="S72" i="18"/>
  <c r="R72" i="18"/>
  <c r="Q72" i="18"/>
  <c r="S71" i="18"/>
  <c r="R71" i="18"/>
  <c r="Q71" i="18"/>
  <c r="S70" i="18"/>
  <c r="R70" i="18"/>
  <c r="Q70" i="18"/>
  <c r="S69" i="18"/>
  <c r="R69" i="18"/>
  <c r="Q69" i="18"/>
  <c r="S68" i="18"/>
  <c r="R68" i="18"/>
  <c r="Q68" i="18"/>
  <c r="S67" i="18"/>
  <c r="R67" i="18"/>
  <c r="Q67" i="18"/>
  <c r="S66" i="18"/>
  <c r="R66" i="18"/>
  <c r="Q66" i="18"/>
  <c r="S65" i="18"/>
  <c r="R65" i="18"/>
  <c r="Q65" i="18"/>
  <c r="S64" i="18"/>
  <c r="R64" i="18"/>
  <c r="Q64" i="18"/>
  <c r="S63" i="18"/>
  <c r="R63" i="18"/>
  <c r="Q63" i="18"/>
  <c r="S62" i="18"/>
  <c r="R62" i="18"/>
  <c r="Q62" i="18"/>
  <c r="S61" i="18"/>
  <c r="R61" i="18"/>
  <c r="Q61" i="18"/>
  <c r="S60" i="18"/>
  <c r="R60" i="18"/>
  <c r="Q60" i="18"/>
  <c r="S59" i="18"/>
  <c r="R59" i="18"/>
  <c r="Q59" i="18"/>
  <c r="S58" i="18"/>
  <c r="R58" i="18"/>
  <c r="Q58" i="18"/>
  <c r="S57" i="18"/>
  <c r="R57" i="18"/>
  <c r="Q57" i="18"/>
  <c r="S56" i="18"/>
  <c r="R56" i="18"/>
  <c r="Q56" i="18"/>
  <c r="S55" i="18"/>
  <c r="R55" i="18"/>
  <c r="Q55" i="18"/>
  <c r="S54" i="18"/>
  <c r="R54" i="18"/>
  <c r="Q54" i="18"/>
  <c r="S53" i="18"/>
  <c r="R53" i="18"/>
  <c r="Q53" i="18"/>
  <c r="S52" i="18"/>
  <c r="R52" i="18"/>
  <c r="Q52" i="18"/>
  <c r="S51" i="18"/>
  <c r="R51" i="18"/>
  <c r="Q51" i="18"/>
  <c r="S50" i="18"/>
  <c r="R50" i="18"/>
  <c r="Q50" i="18"/>
  <c r="S49" i="18"/>
  <c r="R49" i="18"/>
  <c r="Q49" i="18"/>
  <c r="S48" i="18"/>
  <c r="R48" i="18"/>
  <c r="Q48" i="18"/>
  <c r="S47" i="18"/>
  <c r="R47" i="18"/>
  <c r="Q47" i="18"/>
  <c r="S46" i="18"/>
  <c r="R46" i="18"/>
  <c r="Q46" i="18"/>
  <c r="S45" i="18"/>
  <c r="R45" i="18"/>
  <c r="Q45" i="18"/>
  <c r="K39" i="18"/>
  <c r="J39" i="18"/>
  <c r="I39" i="18"/>
  <c r="H39" i="18"/>
  <c r="G39" i="18"/>
  <c r="F17" i="18" s="1"/>
  <c r="F39" i="18"/>
  <c r="E39" i="18"/>
  <c r="D39" i="18"/>
  <c r="C39" i="18"/>
  <c r="AA77" i="35"/>
  <c r="Z77" i="35"/>
  <c r="Y77" i="35"/>
  <c r="X77" i="35"/>
  <c r="W77" i="35"/>
  <c r="V77" i="35"/>
  <c r="U77" i="35"/>
  <c r="AA76" i="35"/>
  <c r="Z76" i="35"/>
  <c r="Y76" i="35"/>
  <c r="X76" i="35"/>
  <c r="W76" i="35"/>
  <c r="V76" i="35"/>
  <c r="U76" i="35"/>
  <c r="AA75" i="35"/>
  <c r="Z75" i="35"/>
  <c r="Y75" i="35"/>
  <c r="X75" i="35"/>
  <c r="W75" i="35"/>
  <c r="V75" i="35"/>
  <c r="U75" i="35"/>
  <c r="AA74" i="35"/>
  <c r="Z74" i="35"/>
  <c r="Y74" i="35"/>
  <c r="X74" i="35"/>
  <c r="W74" i="35"/>
  <c r="V74" i="35"/>
  <c r="U74" i="35"/>
  <c r="AA73" i="35"/>
  <c r="Z73" i="35"/>
  <c r="Y73" i="35"/>
  <c r="X73" i="35"/>
  <c r="W73" i="35"/>
  <c r="V73" i="35"/>
  <c r="U73" i="35"/>
  <c r="AA72" i="35"/>
  <c r="Z72" i="35"/>
  <c r="Y72" i="35"/>
  <c r="X72" i="35"/>
  <c r="W72" i="35"/>
  <c r="V72" i="35"/>
  <c r="U72" i="35"/>
  <c r="AA71" i="35"/>
  <c r="Z71" i="35"/>
  <c r="Y71" i="35"/>
  <c r="X71" i="35"/>
  <c r="W71" i="35"/>
  <c r="V71" i="35"/>
  <c r="U71" i="35"/>
  <c r="AA70" i="35"/>
  <c r="Z70" i="35"/>
  <c r="Y70" i="35"/>
  <c r="X70" i="35"/>
  <c r="W70" i="35"/>
  <c r="V70" i="35"/>
  <c r="U70" i="35"/>
  <c r="AA69" i="35"/>
  <c r="Z69" i="35"/>
  <c r="Y69" i="35"/>
  <c r="X69" i="35"/>
  <c r="W69" i="35"/>
  <c r="V69" i="35"/>
  <c r="U69" i="35"/>
  <c r="AA68" i="35"/>
  <c r="Z68" i="35"/>
  <c r="Y68" i="35"/>
  <c r="X68" i="35"/>
  <c r="W68" i="35"/>
  <c r="V68" i="35"/>
  <c r="U68" i="35"/>
  <c r="AA67" i="35"/>
  <c r="Z67" i="35"/>
  <c r="Y67" i="35"/>
  <c r="X67" i="35"/>
  <c r="W67" i="35"/>
  <c r="V67" i="35"/>
  <c r="U67" i="35"/>
  <c r="AA66" i="35"/>
  <c r="Z66" i="35"/>
  <c r="Y66" i="35"/>
  <c r="X66" i="35"/>
  <c r="W66" i="35"/>
  <c r="V66" i="35"/>
  <c r="U66" i="35"/>
  <c r="AA65" i="35"/>
  <c r="Z65" i="35"/>
  <c r="Y65" i="35"/>
  <c r="X65" i="35"/>
  <c r="W65" i="35"/>
  <c r="V65" i="35"/>
  <c r="U65" i="35"/>
  <c r="AA64" i="35"/>
  <c r="Z64" i="35"/>
  <c r="Y64" i="35"/>
  <c r="X64" i="35"/>
  <c r="W64" i="35"/>
  <c r="V64" i="35"/>
  <c r="U64" i="35"/>
  <c r="AA63" i="35"/>
  <c r="Z63" i="35"/>
  <c r="Y63" i="35"/>
  <c r="X63" i="35"/>
  <c r="W63" i="35"/>
  <c r="V63" i="35"/>
  <c r="U63" i="35"/>
  <c r="AA62" i="35"/>
  <c r="Z62" i="35"/>
  <c r="Y62" i="35"/>
  <c r="X62" i="35"/>
  <c r="W62" i="35"/>
  <c r="V62" i="35"/>
  <c r="U62" i="35"/>
  <c r="AA61" i="35"/>
  <c r="Z61" i="35"/>
  <c r="Y61" i="35"/>
  <c r="X61" i="35"/>
  <c r="W61" i="35"/>
  <c r="V61" i="35"/>
  <c r="U61" i="35"/>
  <c r="AA60" i="35"/>
  <c r="Z60" i="35"/>
  <c r="Y60" i="35"/>
  <c r="X60" i="35"/>
  <c r="W60" i="35"/>
  <c r="V60" i="35"/>
  <c r="U60" i="35"/>
  <c r="AA59" i="35"/>
  <c r="Z59" i="35"/>
  <c r="Y59" i="35"/>
  <c r="X59" i="35"/>
  <c r="W59" i="35"/>
  <c r="V59" i="35"/>
  <c r="U59" i="35"/>
  <c r="AA58" i="35"/>
  <c r="Z58" i="35"/>
  <c r="Y58" i="35"/>
  <c r="X58" i="35"/>
  <c r="W58" i="35"/>
  <c r="V58" i="35"/>
  <c r="U58" i="35"/>
  <c r="AA57" i="35"/>
  <c r="Z57" i="35"/>
  <c r="Y57" i="35"/>
  <c r="X57" i="35"/>
  <c r="W57" i="35"/>
  <c r="V57" i="35"/>
  <c r="U57" i="35"/>
  <c r="AA56" i="35"/>
  <c r="Z56" i="35"/>
  <c r="Y56" i="35"/>
  <c r="X56" i="35"/>
  <c r="W56" i="35"/>
  <c r="V56" i="35"/>
  <c r="U56" i="35"/>
  <c r="AA55" i="35"/>
  <c r="Z55" i="35"/>
  <c r="Y55" i="35"/>
  <c r="X55" i="35"/>
  <c r="W55" i="35"/>
  <c r="V55" i="35"/>
  <c r="U55" i="35"/>
  <c r="AA54" i="35"/>
  <c r="Z54" i="35"/>
  <c r="Y54" i="35"/>
  <c r="X54" i="35"/>
  <c r="W54" i="35"/>
  <c r="V54" i="35"/>
  <c r="U54" i="35"/>
  <c r="AA53" i="35"/>
  <c r="Z53" i="35"/>
  <c r="Y53" i="35"/>
  <c r="X53" i="35"/>
  <c r="W53" i="35"/>
  <c r="V53" i="35"/>
  <c r="U53" i="35"/>
  <c r="AA52" i="35"/>
  <c r="Z52" i="35"/>
  <c r="Y52" i="35"/>
  <c r="X52" i="35"/>
  <c r="W52" i="35"/>
  <c r="V52" i="35"/>
  <c r="U52" i="35"/>
  <c r="AA51" i="35"/>
  <c r="Z51" i="35"/>
  <c r="Y51" i="35"/>
  <c r="X51" i="35"/>
  <c r="W51" i="35"/>
  <c r="V51" i="35"/>
  <c r="U51" i="35"/>
  <c r="AA50" i="35"/>
  <c r="Z50" i="35"/>
  <c r="Y50" i="35"/>
  <c r="X50" i="35"/>
  <c r="W50" i="35"/>
  <c r="V50" i="35"/>
  <c r="U50" i="35"/>
  <c r="AA49" i="35"/>
  <c r="Z49" i="35"/>
  <c r="Y49" i="35"/>
  <c r="X49" i="35"/>
  <c r="W49" i="35"/>
  <c r="V49" i="35"/>
  <c r="U49" i="35"/>
  <c r="AA48" i="35"/>
  <c r="Z48" i="35"/>
  <c r="Y48" i="35"/>
  <c r="X48" i="35"/>
  <c r="W48" i="35"/>
  <c r="V48" i="35"/>
  <c r="U48" i="35"/>
  <c r="AA47" i="35"/>
  <c r="Z47" i="35"/>
  <c r="Y47" i="35"/>
  <c r="X47" i="35"/>
  <c r="W47" i="35"/>
  <c r="V47" i="35"/>
  <c r="U47" i="35"/>
  <c r="AA46" i="35"/>
  <c r="Z46" i="35"/>
  <c r="Y46" i="35"/>
  <c r="X46" i="35"/>
  <c r="W46" i="35"/>
  <c r="V46" i="35"/>
  <c r="U46" i="35"/>
  <c r="AA45" i="35"/>
  <c r="Z45" i="35"/>
  <c r="Y45" i="35"/>
  <c r="X45" i="35"/>
  <c r="W45" i="35"/>
  <c r="V45" i="35"/>
  <c r="U45" i="35"/>
  <c r="T77" i="35"/>
  <c r="Q77" i="35"/>
  <c r="P77" i="35"/>
  <c r="T76" i="35"/>
  <c r="Q76" i="35"/>
  <c r="P76" i="35"/>
  <c r="T75" i="35"/>
  <c r="Q75" i="35"/>
  <c r="P75" i="35"/>
  <c r="T74" i="35"/>
  <c r="Q74" i="35"/>
  <c r="P74" i="35"/>
  <c r="T73" i="35"/>
  <c r="Q73" i="35"/>
  <c r="P73" i="35"/>
  <c r="T72" i="35"/>
  <c r="Q72" i="35"/>
  <c r="P72" i="35"/>
  <c r="T71" i="35"/>
  <c r="Q71" i="35"/>
  <c r="P71" i="35"/>
  <c r="T70" i="35"/>
  <c r="Q70" i="35"/>
  <c r="P70" i="35"/>
  <c r="T69" i="35"/>
  <c r="Q69" i="35"/>
  <c r="P69" i="35"/>
  <c r="T68" i="35"/>
  <c r="Q68" i="35"/>
  <c r="P68" i="35"/>
  <c r="T67" i="35"/>
  <c r="Q67" i="35"/>
  <c r="P67" i="35"/>
  <c r="T66" i="35"/>
  <c r="Q66" i="35"/>
  <c r="P66" i="35"/>
  <c r="T65" i="35"/>
  <c r="Q65" i="35"/>
  <c r="P65" i="35"/>
  <c r="T64" i="35"/>
  <c r="Q64" i="35"/>
  <c r="P64" i="35"/>
  <c r="T63" i="35"/>
  <c r="Q63" i="35"/>
  <c r="P63" i="35"/>
  <c r="T62" i="35"/>
  <c r="Q62" i="35"/>
  <c r="P62" i="35"/>
  <c r="T61" i="35"/>
  <c r="Q61" i="35"/>
  <c r="P61" i="35"/>
  <c r="T60" i="35"/>
  <c r="Q60" i="35"/>
  <c r="P60" i="35"/>
  <c r="T59" i="35"/>
  <c r="Q59" i="35"/>
  <c r="P59" i="35"/>
  <c r="T58" i="35"/>
  <c r="Q58" i="35"/>
  <c r="P58" i="35"/>
  <c r="T57" i="35"/>
  <c r="Q57" i="35"/>
  <c r="P57" i="35"/>
  <c r="T56" i="35"/>
  <c r="Q56" i="35"/>
  <c r="P56" i="35"/>
  <c r="T55" i="35"/>
  <c r="Q55" i="35"/>
  <c r="P55" i="35"/>
  <c r="T54" i="35"/>
  <c r="Q54" i="35"/>
  <c r="P54" i="35"/>
  <c r="T53" i="35"/>
  <c r="Q53" i="35"/>
  <c r="P53" i="35"/>
  <c r="T52" i="35"/>
  <c r="Q52" i="35"/>
  <c r="P52" i="35"/>
  <c r="T51" i="35"/>
  <c r="Q51" i="35"/>
  <c r="P51" i="35"/>
  <c r="T50" i="35"/>
  <c r="Q50" i="35"/>
  <c r="P50" i="35"/>
  <c r="T49" i="35"/>
  <c r="Q49" i="35"/>
  <c r="P49" i="35"/>
  <c r="T48" i="35"/>
  <c r="Q48" i="35"/>
  <c r="P48" i="35"/>
  <c r="T47" i="35"/>
  <c r="Q47" i="35"/>
  <c r="P47" i="35"/>
  <c r="T46" i="35"/>
  <c r="Q46" i="35"/>
  <c r="P46" i="35"/>
  <c r="T45" i="35"/>
  <c r="Q45" i="35"/>
  <c r="P45" i="35"/>
  <c r="S77" i="35"/>
  <c r="R77" i="35"/>
  <c r="S76" i="35"/>
  <c r="R76" i="35"/>
  <c r="S75" i="35"/>
  <c r="R75" i="35"/>
  <c r="S74" i="35"/>
  <c r="R74" i="35"/>
  <c r="S73" i="35"/>
  <c r="R73" i="35"/>
  <c r="S72" i="35"/>
  <c r="R72" i="35"/>
  <c r="S71" i="35"/>
  <c r="R71" i="35"/>
  <c r="S70" i="35"/>
  <c r="R70" i="35"/>
  <c r="S69" i="35"/>
  <c r="R69" i="35"/>
  <c r="S68" i="35"/>
  <c r="R68" i="35"/>
  <c r="S67" i="35"/>
  <c r="R67" i="35"/>
  <c r="S66" i="35"/>
  <c r="R66" i="35"/>
  <c r="S65" i="35"/>
  <c r="R65" i="35"/>
  <c r="S64" i="35"/>
  <c r="R64" i="35"/>
  <c r="S63" i="35"/>
  <c r="R63" i="35"/>
  <c r="S62" i="35"/>
  <c r="R62" i="35"/>
  <c r="S61" i="35"/>
  <c r="R61" i="35"/>
  <c r="S60" i="35"/>
  <c r="R60" i="35"/>
  <c r="S59" i="35"/>
  <c r="R59" i="35"/>
  <c r="S58" i="35"/>
  <c r="R58" i="35"/>
  <c r="S57" i="35"/>
  <c r="R57" i="35"/>
  <c r="S56" i="35"/>
  <c r="R56" i="35"/>
  <c r="S55" i="35"/>
  <c r="R55" i="35"/>
  <c r="S54" i="35"/>
  <c r="R54" i="35"/>
  <c r="S53" i="35"/>
  <c r="R53" i="35"/>
  <c r="S52" i="35"/>
  <c r="R52" i="35"/>
  <c r="S51" i="35"/>
  <c r="R51" i="35"/>
  <c r="S50" i="35"/>
  <c r="R50" i="35"/>
  <c r="S49" i="35"/>
  <c r="R49" i="35"/>
  <c r="S48" i="35"/>
  <c r="R48" i="35"/>
  <c r="S47" i="35"/>
  <c r="R47" i="35"/>
  <c r="S46" i="35"/>
  <c r="R46" i="35"/>
  <c r="S45" i="35"/>
  <c r="R45" i="35"/>
  <c r="K39" i="35"/>
  <c r="J39" i="35"/>
  <c r="I39" i="35"/>
  <c r="H39" i="35"/>
  <c r="L35" i="35" s="1"/>
  <c r="G39" i="35"/>
  <c r="F39" i="35"/>
  <c r="E39" i="35"/>
  <c r="D39" i="35"/>
  <c r="C39" i="35"/>
  <c r="B39" i="35"/>
  <c r="AA77" i="37"/>
  <c r="Z77" i="37"/>
  <c r="Y77" i="37"/>
  <c r="X77" i="37"/>
  <c r="W77" i="37"/>
  <c r="V77" i="37"/>
  <c r="U77" i="37"/>
  <c r="AA76" i="37"/>
  <c r="Z76" i="37"/>
  <c r="Y76" i="37"/>
  <c r="X76" i="37"/>
  <c r="W76" i="37"/>
  <c r="V76" i="37"/>
  <c r="U76" i="37"/>
  <c r="AA75" i="37"/>
  <c r="Z75" i="37"/>
  <c r="Y75" i="37"/>
  <c r="X75" i="37"/>
  <c r="W75" i="37"/>
  <c r="V75" i="37"/>
  <c r="U75" i="37"/>
  <c r="AA74" i="37"/>
  <c r="Z74" i="37"/>
  <c r="Y74" i="37"/>
  <c r="X74" i="37"/>
  <c r="W74" i="37"/>
  <c r="V74" i="37"/>
  <c r="U74" i="37"/>
  <c r="AA73" i="37"/>
  <c r="Z73" i="37"/>
  <c r="Y73" i="37"/>
  <c r="X73" i="37"/>
  <c r="W73" i="37"/>
  <c r="V73" i="37"/>
  <c r="U73" i="37"/>
  <c r="AA72" i="37"/>
  <c r="Z72" i="37"/>
  <c r="Y72" i="37"/>
  <c r="X72" i="37"/>
  <c r="W72" i="37"/>
  <c r="V72" i="37"/>
  <c r="U72" i="37"/>
  <c r="AA71" i="37"/>
  <c r="Z71" i="37"/>
  <c r="Y71" i="37"/>
  <c r="X71" i="37"/>
  <c r="W71" i="37"/>
  <c r="V71" i="37"/>
  <c r="U71" i="37"/>
  <c r="AA70" i="37"/>
  <c r="Z70" i="37"/>
  <c r="Y70" i="37"/>
  <c r="X70" i="37"/>
  <c r="W70" i="37"/>
  <c r="V70" i="37"/>
  <c r="U70" i="37"/>
  <c r="AA69" i="37"/>
  <c r="Z69" i="37"/>
  <c r="Y69" i="37"/>
  <c r="X69" i="37"/>
  <c r="W69" i="37"/>
  <c r="V69" i="37"/>
  <c r="U69" i="37"/>
  <c r="AA68" i="37"/>
  <c r="Z68" i="37"/>
  <c r="Y68" i="37"/>
  <c r="X68" i="37"/>
  <c r="W68" i="37"/>
  <c r="V68" i="37"/>
  <c r="U68" i="37"/>
  <c r="AA67" i="37"/>
  <c r="Z67" i="37"/>
  <c r="Y67" i="37"/>
  <c r="X67" i="37"/>
  <c r="W67" i="37"/>
  <c r="V67" i="37"/>
  <c r="U67" i="37"/>
  <c r="AA66" i="37"/>
  <c r="Z66" i="37"/>
  <c r="Y66" i="37"/>
  <c r="X66" i="37"/>
  <c r="W66" i="37"/>
  <c r="V66" i="37"/>
  <c r="U66" i="37"/>
  <c r="AA65" i="37"/>
  <c r="Z65" i="37"/>
  <c r="Y65" i="37"/>
  <c r="X65" i="37"/>
  <c r="W65" i="37"/>
  <c r="V65" i="37"/>
  <c r="U65" i="37"/>
  <c r="AA64" i="37"/>
  <c r="Z64" i="37"/>
  <c r="Y64" i="37"/>
  <c r="X64" i="37"/>
  <c r="W64" i="37"/>
  <c r="V64" i="37"/>
  <c r="U64" i="37"/>
  <c r="AA63" i="37"/>
  <c r="Z63" i="37"/>
  <c r="Y63" i="37"/>
  <c r="X63" i="37"/>
  <c r="W63" i="37"/>
  <c r="V63" i="37"/>
  <c r="U63" i="37"/>
  <c r="AA62" i="37"/>
  <c r="Z62" i="37"/>
  <c r="Y62" i="37"/>
  <c r="X62" i="37"/>
  <c r="W62" i="37"/>
  <c r="V62" i="37"/>
  <c r="U62" i="37"/>
  <c r="AA61" i="37"/>
  <c r="Z61" i="37"/>
  <c r="Y61" i="37"/>
  <c r="X61" i="37"/>
  <c r="W61" i="37"/>
  <c r="V61" i="37"/>
  <c r="U61" i="37"/>
  <c r="AA60" i="37"/>
  <c r="Z60" i="37"/>
  <c r="Y60" i="37"/>
  <c r="X60" i="37"/>
  <c r="W60" i="37"/>
  <c r="V60" i="37"/>
  <c r="U60" i="37"/>
  <c r="AA59" i="37"/>
  <c r="Z59" i="37"/>
  <c r="Y59" i="37"/>
  <c r="X59" i="37"/>
  <c r="W59" i="37"/>
  <c r="V59" i="37"/>
  <c r="U59" i="37"/>
  <c r="AA58" i="37"/>
  <c r="Z58" i="37"/>
  <c r="Y58" i="37"/>
  <c r="X58" i="37"/>
  <c r="W58" i="37"/>
  <c r="V58" i="37"/>
  <c r="U58" i="37"/>
  <c r="AA57" i="37"/>
  <c r="Z57" i="37"/>
  <c r="Y57" i="37"/>
  <c r="X57" i="37"/>
  <c r="W57" i="37"/>
  <c r="V57" i="37"/>
  <c r="U57" i="37"/>
  <c r="AA56" i="37"/>
  <c r="Z56" i="37"/>
  <c r="Y56" i="37"/>
  <c r="X56" i="37"/>
  <c r="W56" i="37"/>
  <c r="V56" i="37"/>
  <c r="U56" i="37"/>
  <c r="AA55" i="37"/>
  <c r="Z55" i="37"/>
  <c r="Y55" i="37"/>
  <c r="X55" i="37"/>
  <c r="W55" i="37"/>
  <c r="V55" i="37"/>
  <c r="U55" i="37"/>
  <c r="AA54" i="37"/>
  <c r="Z54" i="37"/>
  <c r="Y54" i="37"/>
  <c r="X54" i="37"/>
  <c r="W54" i="37"/>
  <c r="V54" i="37"/>
  <c r="U54" i="37"/>
  <c r="AA53" i="37"/>
  <c r="Z53" i="37"/>
  <c r="Y53" i="37"/>
  <c r="X53" i="37"/>
  <c r="W53" i="37"/>
  <c r="V53" i="37"/>
  <c r="U53" i="37"/>
  <c r="AA52" i="37"/>
  <c r="Z52" i="37"/>
  <c r="Y52" i="37"/>
  <c r="X52" i="37"/>
  <c r="W52" i="37"/>
  <c r="V52" i="37"/>
  <c r="U52" i="37"/>
  <c r="AA51" i="37"/>
  <c r="Z51" i="37"/>
  <c r="Y51" i="37"/>
  <c r="X51" i="37"/>
  <c r="W51" i="37"/>
  <c r="V51" i="37"/>
  <c r="U51" i="37"/>
  <c r="AA50" i="37"/>
  <c r="Z50" i="37"/>
  <c r="Y50" i="37"/>
  <c r="X50" i="37"/>
  <c r="W50" i="37"/>
  <c r="V50" i="37"/>
  <c r="U50" i="37"/>
  <c r="AA49" i="37"/>
  <c r="Z49" i="37"/>
  <c r="Y49" i="37"/>
  <c r="X49" i="37"/>
  <c r="W49" i="37"/>
  <c r="V49" i="37"/>
  <c r="U49" i="37"/>
  <c r="AA48" i="37"/>
  <c r="Z48" i="37"/>
  <c r="Y48" i="37"/>
  <c r="X48" i="37"/>
  <c r="W48" i="37"/>
  <c r="V48" i="37"/>
  <c r="U48" i="37"/>
  <c r="AA47" i="37"/>
  <c r="Z47" i="37"/>
  <c r="Y47" i="37"/>
  <c r="X47" i="37"/>
  <c r="W47" i="37"/>
  <c r="V47" i="37"/>
  <c r="U47" i="37"/>
  <c r="AA46" i="37"/>
  <c r="Z46" i="37"/>
  <c r="Y46" i="37"/>
  <c r="X46" i="37"/>
  <c r="W46" i="37"/>
  <c r="V46" i="37"/>
  <c r="U46" i="37"/>
  <c r="AA45" i="37"/>
  <c r="Z45" i="37"/>
  <c r="Y45" i="37"/>
  <c r="X45" i="37"/>
  <c r="W45" i="37"/>
  <c r="V45" i="37"/>
  <c r="U45" i="37"/>
  <c r="S77" i="37"/>
  <c r="R77" i="37"/>
  <c r="S76" i="37"/>
  <c r="R76" i="37"/>
  <c r="S75" i="37"/>
  <c r="R75" i="37"/>
  <c r="S74" i="37"/>
  <c r="R74" i="37"/>
  <c r="S73" i="37"/>
  <c r="R73" i="37"/>
  <c r="S72" i="37"/>
  <c r="R72" i="37"/>
  <c r="S71" i="37"/>
  <c r="R71" i="37"/>
  <c r="S70" i="37"/>
  <c r="R70" i="37"/>
  <c r="S69" i="37"/>
  <c r="R69" i="37"/>
  <c r="S68" i="37"/>
  <c r="R68" i="37"/>
  <c r="S67" i="37"/>
  <c r="R67" i="37"/>
  <c r="S66" i="37"/>
  <c r="R66" i="37"/>
  <c r="S65" i="37"/>
  <c r="R65" i="37"/>
  <c r="S64" i="37"/>
  <c r="R64" i="37"/>
  <c r="S63" i="37"/>
  <c r="R63" i="37"/>
  <c r="S62" i="37"/>
  <c r="R62" i="37"/>
  <c r="S61" i="37"/>
  <c r="R61" i="37"/>
  <c r="S60" i="37"/>
  <c r="R60" i="37"/>
  <c r="S59" i="37"/>
  <c r="R59" i="37"/>
  <c r="S58" i="37"/>
  <c r="R58" i="37"/>
  <c r="S57" i="37"/>
  <c r="R57" i="37"/>
  <c r="S56" i="37"/>
  <c r="R56" i="37"/>
  <c r="S55" i="37"/>
  <c r="R55" i="37"/>
  <c r="S54" i="37"/>
  <c r="R54" i="37"/>
  <c r="S53" i="37"/>
  <c r="R53" i="37"/>
  <c r="S52" i="37"/>
  <c r="R52" i="37"/>
  <c r="S51" i="37"/>
  <c r="R51" i="37"/>
  <c r="S50" i="37"/>
  <c r="R50" i="37"/>
  <c r="S49" i="37"/>
  <c r="R49" i="37"/>
  <c r="S48" i="37"/>
  <c r="R48" i="37"/>
  <c r="S47" i="37"/>
  <c r="R47" i="37"/>
  <c r="S46" i="37"/>
  <c r="R46" i="37"/>
  <c r="S45" i="37"/>
  <c r="R45" i="37"/>
  <c r="T77" i="37"/>
  <c r="T76" i="37"/>
  <c r="T75" i="37"/>
  <c r="T74" i="37"/>
  <c r="T73" i="37"/>
  <c r="T72" i="37"/>
  <c r="T71" i="37"/>
  <c r="T70" i="37"/>
  <c r="T69" i="37"/>
  <c r="T68" i="37"/>
  <c r="T67" i="37"/>
  <c r="T66" i="37"/>
  <c r="T65" i="37"/>
  <c r="T64" i="37"/>
  <c r="T63" i="37"/>
  <c r="T62" i="37"/>
  <c r="T61" i="37"/>
  <c r="T60" i="37"/>
  <c r="T59" i="37"/>
  <c r="T58" i="37"/>
  <c r="T57" i="37"/>
  <c r="T56" i="37"/>
  <c r="T55" i="37"/>
  <c r="T54" i="37"/>
  <c r="T53" i="37"/>
  <c r="T52" i="37"/>
  <c r="T51" i="37"/>
  <c r="T50" i="37"/>
  <c r="T49" i="37"/>
  <c r="T48" i="37"/>
  <c r="T47" i="37"/>
  <c r="T46" i="37"/>
  <c r="T45" i="37"/>
  <c r="Q77" i="37"/>
  <c r="P77" i="37"/>
  <c r="Q76" i="37"/>
  <c r="P76" i="37"/>
  <c r="Q75" i="37"/>
  <c r="P75" i="37"/>
  <c r="Q74" i="37"/>
  <c r="P74" i="37"/>
  <c r="Q73" i="37"/>
  <c r="P73" i="37"/>
  <c r="Q72" i="37"/>
  <c r="P72" i="37"/>
  <c r="Q71" i="37"/>
  <c r="P71" i="37"/>
  <c r="Q70" i="37"/>
  <c r="P70" i="37"/>
  <c r="Q69" i="37"/>
  <c r="P69" i="37"/>
  <c r="Q68" i="37"/>
  <c r="P68" i="37"/>
  <c r="Q67" i="37"/>
  <c r="P67" i="37"/>
  <c r="Q66" i="37"/>
  <c r="P66" i="37"/>
  <c r="Q65" i="37"/>
  <c r="P65" i="37"/>
  <c r="Q64" i="37"/>
  <c r="P64" i="37"/>
  <c r="Q63" i="37"/>
  <c r="P63" i="37"/>
  <c r="Q62" i="37"/>
  <c r="P62" i="37"/>
  <c r="Q61" i="37"/>
  <c r="P61" i="37"/>
  <c r="Q60" i="37"/>
  <c r="P60" i="37"/>
  <c r="Q59" i="37"/>
  <c r="P59" i="37"/>
  <c r="Q58" i="37"/>
  <c r="P58" i="37"/>
  <c r="Q57" i="37"/>
  <c r="P57" i="37"/>
  <c r="Q56" i="37"/>
  <c r="P56" i="37"/>
  <c r="Q55" i="37"/>
  <c r="P55" i="37"/>
  <c r="Q54" i="37"/>
  <c r="P54" i="37"/>
  <c r="Q53" i="37"/>
  <c r="P53" i="37"/>
  <c r="Q52" i="37"/>
  <c r="P52" i="37"/>
  <c r="Q51" i="37"/>
  <c r="P51" i="37"/>
  <c r="Q50" i="37"/>
  <c r="P50" i="37"/>
  <c r="Q49" i="37"/>
  <c r="P49" i="37"/>
  <c r="Q48" i="37"/>
  <c r="P48" i="37"/>
  <c r="Q47" i="37"/>
  <c r="P47" i="37"/>
  <c r="Q46" i="37"/>
  <c r="P46" i="37"/>
  <c r="Q45" i="37"/>
  <c r="P45" i="37"/>
  <c r="K39" i="37"/>
  <c r="J39" i="37"/>
  <c r="I39" i="37"/>
  <c r="H39" i="37"/>
  <c r="G39" i="37"/>
  <c r="F39" i="37"/>
  <c r="E39" i="37"/>
  <c r="D39" i="37"/>
  <c r="C39" i="37"/>
  <c r="B39" i="37"/>
  <c r="AA77" i="39"/>
  <c r="X77" i="39"/>
  <c r="W77" i="39"/>
  <c r="V77" i="39"/>
  <c r="U77" i="39"/>
  <c r="AA76" i="39"/>
  <c r="X76" i="39"/>
  <c r="W76" i="39"/>
  <c r="V76" i="39"/>
  <c r="U76" i="39"/>
  <c r="AA75" i="39"/>
  <c r="X75" i="39"/>
  <c r="W75" i="39"/>
  <c r="V75" i="39"/>
  <c r="U75" i="39"/>
  <c r="AA74" i="39"/>
  <c r="X74" i="39"/>
  <c r="W74" i="39"/>
  <c r="V74" i="39"/>
  <c r="U74" i="39"/>
  <c r="AA73" i="39"/>
  <c r="X73" i="39"/>
  <c r="W73" i="39"/>
  <c r="V73" i="39"/>
  <c r="U73" i="39"/>
  <c r="AA72" i="39"/>
  <c r="X72" i="39"/>
  <c r="W72" i="39"/>
  <c r="V72" i="39"/>
  <c r="U72" i="39"/>
  <c r="AA71" i="39"/>
  <c r="X71" i="39"/>
  <c r="W71" i="39"/>
  <c r="V71" i="39"/>
  <c r="U71" i="39"/>
  <c r="AA70" i="39"/>
  <c r="X70" i="39"/>
  <c r="W70" i="39"/>
  <c r="V70" i="39"/>
  <c r="U70" i="39"/>
  <c r="AA69" i="39"/>
  <c r="X69" i="39"/>
  <c r="W69" i="39"/>
  <c r="V69" i="39"/>
  <c r="U69" i="39"/>
  <c r="AA68" i="39"/>
  <c r="X68" i="39"/>
  <c r="W68" i="39"/>
  <c r="V68" i="39"/>
  <c r="U68" i="39"/>
  <c r="AA67" i="39"/>
  <c r="X67" i="39"/>
  <c r="W67" i="39"/>
  <c r="V67" i="39"/>
  <c r="U67" i="39"/>
  <c r="AA66" i="39"/>
  <c r="X66" i="39"/>
  <c r="W66" i="39"/>
  <c r="V66" i="39"/>
  <c r="U66" i="39"/>
  <c r="AA65" i="39"/>
  <c r="X65" i="39"/>
  <c r="W65" i="39"/>
  <c r="V65" i="39"/>
  <c r="U65" i="39"/>
  <c r="AA64" i="39"/>
  <c r="X64" i="39"/>
  <c r="W64" i="39"/>
  <c r="V64" i="39"/>
  <c r="U64" i="39"/>
  <c r="AA63" i="39"/>
  <c r="X63" i="39"/>
  <c r="W63" i="39"/>
  <c r="V63" i="39"/>
  <c r="U63" i="39"/>
  <c r="AA62" i="39"/>
  <c r="X62" i="39"/>
  <c r="W62" i="39"/>
  <c r="V62" i="39"/>
  <c r="U62" i="39"/>
  <c r="AA61" i="39"/>
  <c r="X61" i="39"/>
  <c r="W61" i="39"/>
  <c r="V61" i="39"/>
  <c r="U61" i="39"/>
  <c r="AA60" i="39"/>
  <c r="X60" i="39"/>
  <c r="W60" i="39"/>
  <c r="V60" i="39"/>
  <c r="U60" i="39"/>
  <c r="AA59" i="39"/>
  <c r="X59" i="39"/>
  <c r="W59" i="39"/>
  <c r="V59" i="39"/>
  <c r="U59" i="39"/>
  <c r="AA58" i="39"/>
  <c r="X58" i="39"/>
  <c r="W58" i="39"/>
  <c r="V58" i="39"/>
  <c r="U58" i="39"/>
  <c r="AA57" i="39"/>
  <c r="X57" i="39"/>
  <c r="W57" i="39"/>
  <c r="V57" i="39"/>
  <c r="U57" i="39"/>
  <c r="AA56" i="39"/>
  <c r="X56" i="39"/>
  <c r="W56" i="39"/>
  <c r="V56" i="39"/>
  <c r="U56" i="39"/>
  <c r="AA55" i="39"/>
  <c r="X55" i="39"/>
  <c r="W55" i="39"/>
  <c r="V55" i="39"/>
  <c r="U55" i="39"/>
  <c r="AA54" i="39"/>
  <c r="X54" i="39"/>
  <c r="W54" i="39"/>
  <c r="V54" i="39"/>
  <c r="U54" i="39"/>
  <c r="AA53" i="39"/>
  <c r="X53" i="39"/>
  <c r="W53" i="39"/>
  <c r="V53" i="39"/>
  <c r="U53" i="39"/>
  <c r="AA52" i="39"/>
  <c r="X52" i="39"/>
  <c r="W52" i="39"/>
  <c r="V52" i="39"/>
  <c r="U52" i="39"/>
  <c r="AA51" i="39"/>
  <c r="X51" i="39"/>
  <c r="W51" i="39"/>
  <c r="V51" i="39"/>
  <c r="U51" i="39"/>
  <c r="AA50" i="39"/>
  <c r="X50" i="39"/>
  <c r="W50" i="39"/>
  <c r="V50" i="39"/>
  <c r="U50" i="39"/>
  <c r="AA49" i="39"/>
  <c r="X49" i="39"/>
  <c r="W49" i="39"/>
  <c r="V49" i="39"/>
  <c r="U49" i="39"/>
  <c r="AA48" i="39"/>
  <c r="X48" i="39"/>
  <c r="W48" i="39"/>
  <c r="V48" i="39"/>
  <c r="U48" i="39"/>
  <c r="AA47" i="39"/>
  <c r="X47" i="39"/>
  <c r="W47" i="39"/>
  <c r="V47" i="39"/>
  <c r="U47" i="39"/>
  <c r="AA46" i="39"/>
  <c r="X46" i="39"/>
  <c r="W46" i="39"/>
  <c r="V46" i="39"/>
  <c r="U46" i="39"/>
  <c r="AA45" i="39"/>
  <c r="X45" i="39"/>
  <c r="W45" i="39"/>
  <c r="V45" i="39"/>
  <c r="U45" i="39"/>
  <c r="T77" i="39"/>
  <c r="T76" i="39"/>
  <c r="T75" i="39"/>
  <c r="T74" i="39"/>
  <c r="T73" i="39"/>
  <c r="T72" i="39"/>
  <c r="T71" i="39"/>
  <c r="T70" i="39"/>
  <c r="T69" i="39"/>
  <c r="T68" i="39"/>
  <c r="T67" i="39"/>
  <c r="T66" i="39"/>
  <c r="T65" i="39"/>
  <c r="T64" i="39"/>
  <c r="T63" i="39"/>
  <c r="T62" i="39"/>
  <c r="T61" i="39"/>
  <c r="T60" i="39"/>
  <c r="T59" i="39"/>
  <c r="T58" i="39"/>
  <c r="T57" i="39"/>
  <c r="T56" i="39"/>
  <c r="T55" i="39"/>
  <c r="T54" i="39"/>
  <c r="T53" i="39"/>
  <c r="T52" i="39"/>
  <c r="T51" i="39"/>
  <c r="T50" i="39"/>
  <c r="T49" i="39"/>
  <c r="T48" i="39"/>
  <c r="T47" i="39"/>
  <c r="T46" i="39"/>
  <c r="T45" i="39"/>
  <c r="S77" i="39"/>
  <c r="R77" i="39"/>
  <c r="S76" i="39"/>
  <c r="R76" i="39"/>
  <c r="S75" i="39"/>
  <c r="R75" i="39"/>
  <c r="S74" i="39"/>
  <c r="R74" i="39"/>
  <c r="S73" i="39"/>
  <c r="R73" i="39"/>
  <c r="S72" i="39"/>
  <c r="R72" i="39"/>
  <c r="S71" i="39"/>
  <c r="R71" i="39"/>
  <c r="S70" i="39"/>
  <c r="R70" i="39"/>
  <c r="S69" i="39"/>
  <c r="R69" i="39"/>
  <c r="S68" i="39"/>
  <c r="R68" i="39"/>
  <c r="S67" i="39"/>
  <c r="R67" i="39"/>
  <c r="S66" i="39"/>
  <c r="R66" i="39"/>
  <c r="S65" i="39"/>
  <c r="R65" i="39"/>
  <c r="S64" i="39"/>
  <c r="R64" i="39"/>
  <c r="S63" i="39"/>
  <c r="R63" i="39"/>
  <c r="S62" i="39"/>
  <c r="R62" i="39"/>
  <c r="S61" i="39"/>
  <c r="R61" i="39"/>
  <c r="S60" i="39"/>
  <c r="R60" i="39"/>
  <c r="S59" i="39"/>
  <c r="R59" i="39"/>
  <c r="S58" i="39"/>
  <c r="R58" i="39"/>
  <c r="S57" i="39"/>
  <c r="R57" i="39"/>
  <c r="S56" i="39"/>
  <c r="R56" i="39"/>
  <c r="S55" i="39"/>
  <c r="R55" i="39"/>
  <c r="S54" i="39"/>
  <c r="R54" i="39"/>
  <c r="S53" i="39"/>
  <c r="R53" i="39"/>
  <c r="S52" i="39"/>
  <c r="R52" i="39"/>
  <c r="S51" i="39"/>
  <c r="R51" i="39"/>
  <c r="S50" i="39"/>
  <c r="R50" i="39"/>
  <c r="S49" i="39"/>
  <c r="R49" i="39"/>
  <c r="S48" i="39"/>
  <c r="R48" i="39"/>
  <c r="S47" i="39"/>
  <c r="R47" i="39"/>
  <c r="S46" i="39"/>
  <c r="R46" i="39"/>
  <c r="S45" i="39"/>
  <c r="R45" i="39"/>
  <c r="Q77" i="39"/>
  <c r="P77" i="39"/>
  <c r="Q76" i="39"/>
  <c r="P76" i="39"/>
  <c r="Q75" i="39"/>
  <c r="P75" i="39"/>
  <c r="Q74" i="39"/>
  <c r="P74" i="39"/>
  <c r="Q73" i="39"/>
  <c r="P73" i="39"/>
  <c r="Q72" i="39"/>
  <c r="P72" i="39"/>
  <c r="Q71" i="39"/>
  <c r="P71" i="39"/>
  <c r="Q70" i="39"/>
  <c r="P70" i="39"/>
  <c r="Q69" i="39"/>
  <c r="P69" i="39"/>
  <c r="Q68" i="39"/>
  <c r="P68" i="39"/>
  <c r="Q67" i="39"/>
  <c r="P67" i="39"/>
  <c r="Q66" i="39"/>
  <c r="P66" i="39"/>
  <c r="Q65" i="39"/>
  <c r="P65" i="39"/>
  <c r="Q64" i="39"/>
  <c r="P64" i="39"/>
  <c r="Q63" i="39"/>
  <c r="P63" i="39"/>
  <c r="Q62" i="39"/>
  <c r="P62" i="39"/>
  <c r="Q61" i="39"/>
  <c r="P61" i="39"/>
  <c r="Q60" i="39"/>
  <c r="P60" i="39"/>
  <c r="Q59" i="39"/>
  <c r="P59" i="39"/>
  <c r="Q58" i="39"/>
  <c r="P58" i="39"/>
  <c r="Q57" i="39"/>
  <c r="P57" i="39"/>
  <c r="Q56" i="39"/>
  <c r="P56" i="39"/>
  <c r="Q55" i="39"/>
  <c r="P55" i="39"/>
  <c r="Q54" i="39"/>
  <c r="P54" i="39"/>
  <c r="Q53" i="39"/>
  <c r="P53" i="39"/>
  <c r="Q52" i="39"/>
  <c r="P52" i="39"/>
  <c r="Q51" i="39"/>
  <c r="P51" i="39"/>
  <c r="Q50" i="39"/>
  <c r="P50" i="39"/>
  <c r="Q49" i="39"/>
  <c r="P49" i="39"/>
  <c r="Q48" i="39"/>
  <c r="P48" i="39"/>
  <c r="Q47" i="39"/>
  <c r="P47" i="39"/>
  <c r="Q46" i="39"/>
  <c r="P46" i="39"/>
  <c r="Q45" i="39"/>
  <c r="P45" i="39"/>
  <c r="Z77" i="39"/>
  <c r="Y77" i="39"/>
  <c r="Z76" i="39"/>
  <c r="Y76" i="39"/>
  <c r="Z75" i="39"/>
  <c r="Y75" i="39"/>
  <c r="Z74" i="39"/>
  <c r="Y74" i="39"/>
  <c r="Z73" i="39"/>
  <c r="Y73" i="39"/>
  <c r="Z72" i="39"/>
  <c r="Y72" i="39"/>
  <c r="Z71" i="39"/>
  <c r="Y71" i="39"/>
  <c r="Z70" i="39"/>
  <c r="Y70" i="39"/>
  <c r="Z69" i="39"/>
  <c r="Y69" i="39"/>
  <c r="Z68" i="39"/>
  <c r="Y68" i="39"/>
  <c r="Z67" i="39"/>
  <c r="Y67" i="39"/>
  <c r="Z66" i="39"/>
  <c r="Y66" i="39"/>
  <c r="Z65" i="39"/>
  <c r="Y65" i="39"/>
  <c r="Z64" i="39"/>
  <c r="Y64" i="39"/>
  <c r="Z63" i="39"/>
  <c r="Y63" i="39"/>
  <c r="Z62" i="39"/>
  <c r="Y62" i="39"/>
  <c r="Z61" i="39"/>
  <c r="Y61" i="39"/>
  <c r="Z60" i="39"/>
  <c r="Y60" i="39"/>
  <c r="Z59" i="39"/>
  <c r="Y59" i="39"/>
  <c r="Z58" i="39"/>
  <c r="Y58" i="39"/>
  <c r="Z57" i="39"/>
  <c r="Y57" i="39"/>
  <c r="Z56" i="39"/>
  <c r="Y56" i="39"/>
  <c r="Z55" i="39"/>
  <c r="Y55" i="39"/>
  <c r="Z54" i="39"/>
  <c r="Y54" i="39"/>
  <c r="Z53" i="39"/>
  <c r="Y53" i="39"/>
  <c r="Z52" i="39"/>
  <c r="Y52" i="39"/>
  <c r="Z51" i="39"/>
  <c r="Y51" i="39"/>
  <c r="Z50" i="39"/>
  <c r="Y50" i="39"/>
  <c r="Z49" i="39"/>
  <c r="Y49" i="39"/>
  <c r="Z48" i="39"/>
  <c r="Y48" i="39"/>
  <c r="Z47" i="39"/>
  <c r="Y47" i="39"/>
  <c r="Z46" i="39"/>
  <c r="Y46" i="39"/>
  <c r="Z45" i="39"/>
  <c r="Y45" i="39"/>
  <c r="K39" i="39"/>
  <c r="J39" i="39"/>
  <c r="L35" i="39" s="1"/>
  <c r="I39" i="39"/>
  <c r="H39" i="39"/>
  <c r="G39" i="39"/>
  <c r="F39" i="39"/>
  <c r="E39" i="39"/>
  <c r="D39" i="39"/>
  <c r="C39" i="39"/>
  <c r="B39" i="39"/>
  <c r="J39" i="40"/>
  <c r="I39" i="40"/>
  <c r="H39" i="40"/>
  <c r="G39" i="40"/>
  <c r="F39" i="40"/>
  <c r="E39" i="40"/>
  <c r="D39" i="40"/>
  <c r="C39" i="40"/>
  <c r="B39" i="40"/>
  <c r="K39" i="40"/>
  <c r="F4" i="42" l="1"/>
  <c r="T4" i="42" s="1"/>
  <c r="F8" i="42"/>
  <c r="T8" i="42" s="1"/>
  <c r="F12" i="42"/>
  <c r="T12" i="42" s="1"/>
  <c r="F16" i="42"/>
  <c r="T16" i="42" s="1"/>
  <c r="F20" i="42"/>
  <c r="T20" i="42" s="1"/>
  <c r="F24" i="42"/>
  <c r="T24" i="42" s="1"/>
  <c r="F28" i="42"/>
  <c r="T28" i="42" s="1"/>
  <c r="F32" i="42"/>
  <c r="T32" i="42" s="1"/>
  <c r="F19" i="42"/>
  <c r="T19" i="42" s="1"/>
  <c r="F3" i="42"/>
  <c r="F5" i="42"/>
  <c r="T5" i="42" s="1"/>
  <c r="F9" i="42"/>
  <c r="T9" i="42" s="1"/>
  <c r="F13" i="42"/>
  <c r="T13" i="42" s="1"/>
  <c r="F17" i="42"/>
  <c r="T17" i="42" s="1"/>
  <c r="F21" i="42"/>
  <c r="T21" i="42" s="1"/>
  <c r="F25" i="42"/>
  <c r="T25" i="42" s="1"/>
  <c r="F29" i="42"/>
  <c r="T29" i="42" s="1"/>
  <c r="F33" i="42"/>
  <c r="T33" i="42" s="1"/>
  <c r="F11" i="42"/>
  <c r="T11" i="42" s="1"/>
  <c r="F23" i="42"/>
  <c r="T23" i="42" s="1"/>
  <c r="F27" i="42"/>
  <c r="T27" i="42" s="1"/>
  <c r="F6" i="42"/>
  <c r="T6" i="42" s="1"/>
  <c r="F10" i="42"/>
  <c r="T10" i="42" s="1"/>
  <c r="F14" i="42"/>
  <c r="T14" i="42" s="1"/>
  <c r="F18" i="42"/>
  <c r="T18" i="42" s="1"/>
  <c r="F22" i="42"/>
  <c r="T22" i="42" s="1"/>
  <c r="F26" i="42"/>
  <c r="T26" i="42" s="1"/>
  <c r="F30" i="42"/>
  <c r="T30" i="42" s="1"/>
  <c r="F34" i="42"/>
  <c r="T34" i="42" s="1"/>
  <c r="F7" i="42"/>
  <c r="T7" i="42" s="1"/>
  <c r="F15" i="42"/>
  <c r="T15" i="42" s="1"/>
  <c r="F31" i="42"/>
  <c r="T31" i="42" s="1"/>
  <c r="F35" i="42"/>
  <c r="X34" i="42"/>
  <c r="S34" i="42"/>
  <c r="AA33" i="42"/>
  <c r="U33" i="42"/>
  <c r="P33" i="42"/>
  <c r="V32" i="42"/>
  <c r="Q32" i="42"/>
  <c r="W31" i="42"/>
  <c r="R31" i="42"/>
  <c r="X30" i="42"/>
  <c r="S30" i="42"/>
  <c r="AA29" i="42"/>
  <c r="U29" i="42"/>
  <c r="P29" i="42"/>
  <c r="V28" i="42"/>
  <c r="Q28" i="42"/>
  <c r="W27" i="42"/>
  <c r="R27" i="42"/>
  <c r="X26" i="42"/>
  <c r="S26" i="42"/>
  <c r="AA25" i="42"/>
  <c r="U25" i="42"/>
  <c r="P25" i="42"/>
  <c r="V24" i="42"/>
  <c r="Q24" i="42"/>
  <c r="W23" i="42"/>
  <c r="R23" i="42"/>
  <c r="X22" i="42"/>
  <c r="S22" i="42"/>
  <c r="AA21" i="42"/>
  <c r="U21" i="42"/>
  <c r="P21" i="42"/>
  <c r="V20" i="42"/>
  <c r="Q20" i="42"/>
  <c r="W19" i="42"/>
  <c r="R19" i="42"/>
  <c r="X18" i="42"/>
  <c r="S18" i="42"/>
  <c r="AA17" i="42"/>
  <c r="U17" i="42"/>
  <c r="P17" i="42"/>
  <c r="V16" i="42"/>
  <c r="Q16" i="42"/>
  <c r="W15" i="42"/>
  <c r="R15" i="42"/>
  <c r="X14" i="42"/>
  <c r="S14" i="42"/>
  <c r="AA13" i="42"/>
  <c r="U13" i="42"/>
  <c r="P13" i="42"/>
  <c r="V12" i="42"/>
  <c r="Q12" i="42"/>
  <c r="W11" i="42"/>
  <c r="R11" i="42"/>
  <c r="X10" i="42"/>
  <c r="S10" i="42"/>
  <c r="AA9" i="42"/>
  <c r="U9" i="42"/>
  <c r="P9" i="42"/>
  <c r="V8" i="42"/>
  <c r="Q8" i="42"/>
  <c r="W7" i="42"/>
  <c r="R7" i="42"/>
  <c r="X6" i="42"/>
  <c r="S6" i="42"/>
  <c r="AA5" i="42"/>
  <c r="U5" i="42"/>
  <c r="P5" i="42"/>
  <c r="V4" i="42"/>
  <c r="Q4" i="42"/>
  <c r="P4" i="42"/>
  <c r="X19" i="42"/>
  <c r="V17" i="42"/>
  <c r="X15" i="42"/>
  <c r="U14" i="42"/>
  <c r="Q13" i="42"/>
  <c r="X11" i="42"/>
  <c r="U10" i="42"/>
  <c r="Q9" i="42"/>
  <c r="S7" i="42"/>
  <c r="Q5" i="42"/>
  <c r="W34" i="42"/>
  <c r="R34" i="42"/>
  <c r="X33" i="42"/>
  <c r="S33" i="42"/>
  <c r="AA32" i="42"/>
  <c r="U32" i="42"/>
  <c r="P32" i="42"/>
  <c r="V31" i="42"/>
  <c r="Q31" i="42"/>
  <c r="W30" i="42"/>
  <c r="R30" i="42"/>
  <c r="X29" i="42"/>
  <c r="S29" i="42"/>
  <c r="AA28" i="42"/>
  <c r="U28" i="42"/>
  <c r="P28" i="42"/>
  <c r="V27" i="42"/>
  <c r="Q27" i="42"/>
  <c r="W26" i="42"/>
  <c r="R26" i="42"/>
  <c r="X25" i="42"/>
  <c r="S25" i="42"/>
  <c r="AA24" i="42"/>
  <c r="U24" i="42"/>
  <c r="P24" i="42"/>
  <c r="V23" i="42"/>
  <c r="Q23" i="42"/>
  <c r="W22" i="42"/>
  <c r="R22" i="42"/>
  <c r="X21" i="42"/>
  <c r="S21" i="42"/>
  <c r="AA20" i="42"/>
  <c r="U20" i="42"/>
  <c r="P20" i="42"/>
  <c r="V19" i="42"/>
  <c r="Q19" i="42"/>
  <c r="W18" i="42"/>
  <c r="R18" i="42"/>
  <c r="X17" i="42"/>
  <c r="S17" i="42"/>
  <c r="AA16" i="42"/>
  <c r="U16" i="42"/>
  <c r="P16" i="42"/>
  <c r="V15" i="42"/>
  <c r="Q15" i="42"/>
  <c r="W14" i="42"/>
  <c r="R14" i="42"/>
  <c r="X13" i="42"/>
  <c r="S13" i="42"/>
  <c r="AA12" i="42"/>
  <c r="U12" i="42"/>
  <c r="P12" i="42"/>
  <c r="V11" i="42"/>
  <c r="Q11" i="42"/>
  <c r="W10" i="42"/>
  <c r="R10" i="42"/>
  <c r="X9" i="42"/>
  <c r="S9" i="42"/>
  <c r="AA8" i="42"/>
  <c r="U8" i="42"/>
  <c r="P8" i="42"/>
  <c r="V7" i="42"/>
  <c r="Q7" i="42"/>
  <c r="W6" i="42"/>
  <c r="R6" i="42"/>
  <c r="X5" i="42"/>
  <c r="S5" i="42"/>
  <c r="AA4" i="42"/>
  <c r="U4" i="42"/>
  <c r="U18" i="42"/>
  <c r="W16" i="42"/>
  <c r="AA14" i="42"/>
  <c r="V13" i="42"/>
  <c r="S11" i="42"/>
  <c r="P10" i="42"/>
  <c r="R8" i="42"/>
  <c r="AA6" i="42"/>
  <c r="P6" i="42"/>
  <c r="R4" i="42"/>
  <c r="V34" i="42"/>
  <c r="Q34" i="42"/>
  <c r="W33" i="42"/>
  <c r="R33" i="42"/>
  <c r="X32" i="42"/>
  <c r="S32" i="42"/>
  <c r="AA31" i="42"/>
  <c r="U31" i="42"/>
  <c r="P31" i="42"/>
  <c r="V30" i="42"/>
  <c r="Q30" i="42"/>
  <c r="W29" i="42"/>
  <c r="R29" i="42"/>
  <c r="X28" i="42"/>
  <c r="S28" i="42"/>
  <c r="AA27" i="42"/>
  <c r="U27" i="42"/>
  <c r="P27" i="42"/>
  <c r="V26" i="42"/>
  <c r="Q26" i="42"/>
  <c r="W25" i="42"/>
  <c r="R25" i="42"/>
  <c r="X24" i="42"/>
  <c r="S24" i="42"/>
  <c r="AA23" i="42"/>
  <c r="U23" i="42"/>
  <c r="P23" i="42"/>
  <c r="V22" i="42"/>
  <c r="Q22" i="42"/>
  <c r="W21" i="42"/>
  <c r="R21" i="42"/>
  <c r="X20" i="42"/>
  <c r="S20" i="42"/>
  <c r="AA19" i="42"/>
  <c r="U19" i="42"/>
  <c r="P19" i="42"/>
  <c r="V18" i="42"/>
  <c r="Q18" i="42"/>
  <c r="W17" i="42"/>
  <c r="R17" i="42"/>
  <c r="X16" i="42"/>
  <c r="S16" i="42"/>
  <c r="AA15" i="42"/>
  <c r="U15" i="42"/>
  <c r="P15" i="42"/>
  <c r="V14" i="42"/>
  <c r="Q14" i="42"/>
  <c r="W13" i="42"/>
  <c r="R13" i="42"/>
  <c r="X12" i="42"/>
  <c r="S12" i="42"/>
  <c r="AA11" i="42"/>
  <c r="U11" i="42"/>
  <c r="P11" i="42"/>
  <c r="V10" i="42"/>
  <c r="Q10" i="42"/>
  <c r="W9" i="42"/>
  <c r="R9" i="42"/>
  <c r="X8" i="42"/>
  <c r="S8" i="42"/>
  <c r="AA7" i="42"/>
  <c r="U7" i="42"/>
  <c r="P7" i="42"/>
  <c r="V6" i="42"/>
  <c r="Q6" i="42"/>
  <c r="W5" i="42"/>
  <c r="R5" i="42"/>
  <c r="X4" i="42"/>
  <c r="S4" i="42"/>
  <c r="AA34" i="42"/>
  <c r="U34" i="42"/>
  <c r="P34" i="42"/>
  <c r="V33" i="42"/>
  <c r="Q33" i="42"/>
  <c r="W32" i="42"/>
  <c r="R32" i="42"/>
  <c r="X31" i="42"/>
  <c r="S31" i="42"/>
  <c r="AA30" i="42"/>
  <c r="U30" i="42"/>
  <c r="P30" i="42"/>
  <c r="V29" i="42"/>
  <c r="Q29" i="42"/>
  <c r="W28" i="42"/>
  <c r="R28" i="42"/>
  <c r="X27" i="42"/>
  <c r="S27" i="42"/>
  <c r="AA26" i="42"/>
  <c r="U26" i="42"/>
  <c r="P26" i="42"/>
  <c r="V25" i="42"/>
  <c r="Q25" i="42"/>
  <c r="W24" i="42"/>
  <c r="R24" i="42"/>
  <c r="X23" i="42"/>
  <c r="S23" i="42"/>
  <c r="AA22" i="42"/>
  <c r="U22" i="42"/>
  <c r="P22" i="42"/>
  <c r="V21" i="42"/>
  <c r="Q21" i="42"/>
  <c r="W20" i="42"/>
  <c r="R20" i="42"/>
  <c r="S19" i="42"/>
  <c r="AA18" i="42"/>
  <c r="P18" i="42"/>
  <c r="Q17" i="42"/>
  <c r="R16" i="42"/>
  <c r="S15" i="42"/>
  <c r="P14" i="42"/>
  <c r="W12" i="42"/>
  <c r="R12" i="42"/>
  <c r="AA10" i="42"/>
  <c r="V9" i="42"/>
  <c r="W8" i="42"/>
  <c r="X7" i="42"/>
  <c r="U6" i="42"/>
  <c r="V5" i="42"/>
  <c r="W4" i="42"/>
  <c r="T5" i="43"/>
  <c r="T20" i="43"/>
  <c r="T18" i="43"/>
  <c r="T14" i="43"/>
  <c r="T28" i="43"/>
  <c r="T16" i="43"/>
  <c r="T26" i="43"/>
  <c r="T8" i="43"/>
  <c r="T4" i="43"/>
  <c r="T22" i="43"/>
  <c r="T12" i="43"/>
  <c r="T10" i="43"/>
  <c r="T6" i="43"/>
  <c r="T24" i="43"/>
  <c r="T32" i="43"/>
  <c r="T7" i="43"/>
  <c r="T15" i="43"/>
  <c r="T23" i="43"/>
  <c r="T35" i="43"/>
  <c r="T31" i="43"/>
  <c r="T9" i="43"/>
  <c r="T17" i="43"/>
  <c r="T25" i="43"/>
  <c r="T33" i="43"/>
  <c r="T13" i="43"/>
  <c r="T29" i="43"/>
  <c r="T34" i="43"/>
  <c r="T30" i="43"/>
  <c r="T11" i="43"/>
  <c r="T19" i="43"/>
  <c r="T27" i="43"/>
  <c r="T3" i="43"/>
  <c r="T21" i="43"/>
  <c r="P3" i="43"/>
  <c r="P7" i="43"/>
  <c r="P11" i="43"/>
  <c r="P15" i="43"/>
  <c r="P19" i="43"/>
  <c r="P23" i="43"/>
  <c r="P27" i="43"/>
  <c r="P31" i="43"/>
  <c r="P35" i="43"/>
  <c r="P18" i="43"/>
  <c r="P4" i="43"/>
  <c r="P8" i="43"/>
  <c r="P12" i="43"/>
  <c r="P16" i="43"/>
  <c r="P20" i="43"/>
  <c r="P24" i="43"/>
  <c r="P28" i="43"/>
  <c r="P32" i="43"/>
  <c r="P10" i="43"/>
  <c r="P22" i="43"/>
  <c r="P30" i="43"/>
  <c r="P5" i="43"/>
  <c r="P9" i="43"/>
  <c r="P13" i="43"/>
  <c r="P17" i="43"/>
  <c r="P21" i="43"/>
  <c r="P25" i="43"/>
  <c r="P29" i="43"/>
  <c r="P33" i="43"/>
  <c r="P6" i="43"/>
  <c r="P14" i="43"/>
  <c r="P26" i="43"/>
  <c r="P34" i="43"/>
  <c r="X35" i="43"/>
  <c r="S35" i="43"/>
  <c r="W34" i="43"/>
  <c r="R34" i="43"/>
  <c r="AA33" i="43"/>
  <c r="U33" i="43"/>
  <c r="V32" i="43"/>
  <c r="Q32" i="43"/>
  <c r="X31" i="43"/>
  <c r="S31" i="43"/>
  <c r="AA30" i="43"/>
  <c r="U30" i="43"/>
  <c r="W29" i="43"/>
  <c r="R29" i="43"/>
  <c r="AA28" i="43"/>
  <c r="U28" i="43"/>
  <c r="Q28" i="43"/>
  <c r="W27" i="43"/>
  <c r="R27" i="43"/>
  <c r="V26" i="43"/>
  <c r="R26" i="43"/>
  <c r="AA25" i="43"/>
  <c r="U25" i="43"/>
  <c r="W24" i="43"/>
  <c r="S24" i="43"/>
  <c r="X23" i="43"/>
  <c r="S23" i="43"/>
  <c r="W22" i="43"/>
  <c r="S22" i="43"/>
  <c r="W21" i="43"/>
  <c r="R21" i="43"/>
  <c r="X20" i="43"/>
  <c r="AA19" i="43"/>
  <c r="U19" i="43"/>
  <c r="X18" i="43"/>
  <c r="X17" i="43"/>
  <c r="S17" i="43"/>
  <c r="AA16" i="43"/>
  <c r="U16" i="43"/>
  <c r="Q16" i="43"/>
  <c r="V15" i="43"/>
  <c r="Q15" i="43"/>
  <c r="X14" i="43"/>
  <c r="W13" i="43"/>
  <c r="R13" i="43"/>
  <c r="AA12" i="43"/>
  <c r="U12" i="43"/>
  <c r="Q12" i="43"/>
  <c r="V11" i="43"/>
  <c r="Q11" i="43"/>
  <c r="AA10" i="43"/>
  <c r="U10" i="43"/>
  <c r="Q10" i="43"/>
  <c r="X9" i="43"/>
  <c r="S9" i="43"/>
  <c r="V8" i="43"/>
  <c r="R8" i="43"/>
  <c r="W7" i="43"/>
  <c r="R7" i="43"/>
  <c r="V6" i="43"/>
  <c r="W35" i="43"/>
  <c r="R35" i="43"/>
  <c r="V34" i="43"/>
  <c r="Q34" i="43"/>
  <c r="X33" i="43"/>
  <c r="S33" i="43"/>
  <c r="AA32" i="43"/>
  <c r="U32" i="43"/>
  <c r="W31" i="43"/>
  <c r="R31" i="43"/>
  <c r="X30" i="43"/>
  <c r="S30" i="43"/>
  <c r="V29" i="43"/>
  <c r="Q29" i="43"/>
  <c r="X28" i="43"/>
  <c r="V27" i="43"/>
  <c r="Q27" i="43"/>
  <c r="AA26" i="43"/>
  <c r="U26" i="43"/>
  <c r="Q26" i="43"/>
  <c r="X25" i="43"/>
  <c r="S25" i="43"/>
  <c r="V24" i="43"/>
  <c r="R24" i="43"/>
  <c r="W23" i="43"/>
  <c r="R23" i="43"/>
  <c r="V22" i="43"/>
  <c r="R22" i="43"/>
  <c r="V21" i="43"/>
  <c r="Q21" i="43"/>
  <c r="W20" i="43"/>
  <c r="S20" i="43"/>
  <c r="X19" i="43"/>
  <c r="S19" i="43"/>
  <c r="W18" i="43"/>
  <c r="S18" i="43"/>
  <c r="W17" i="43"/>
  <c r="R17" i="43"/>
  <c r="X16" i="43"/>
  <c r="AA15" i="43"/>
  <c r="U15" i="43"/>
  <c r="W14" i="43"/>
  <c r="S14" i="43"/>
  <c r="V13" i="43"/>
  <c r="Q13" i="43"/>
  <c r="V35" i="43"/>
  <c r="Q35" i="43"/>
  <c r="AA34" i="43"/>
  <c r="U34" i="43"/>
  <c r="W33" i="43"/>
  <c r="R33" i="43"/>
  <c r="X32" i="43"/>
  <c r="S32" i="43"/>
  <c r="V31" i="43"/>
  <c r="Q31" i="43"/>
  <c r="W30" i="43"/>
  <c r="R30" i="43"/>
  <c r="AA29" i="43"/>
  <c r="U29" i="43"/>
  <c r="W28" i="43"/>
  <c r="S28" i="43"/>
  <c r="AA27" i="43"/>
  <c r="U27" i="43"/>
  <c r="X26" i="43"/>
  <c r="W25" i="43"/>
  <c r="R25" i="43"/>
  <c r="AA24" i="43"/>
  <c r="U24" i="43"/>
  <c r="Q24" i="43"/>
  <c r="V23" i="43"/>
  <c r="Q23" i="43"/>
  <c r="AA22" i="43"/>
  <c r="U22" i="43"/>
  <c r="Q22" i="43"/>
  <c r="AA21" i="43"/>
  <c r="U21" i="43"/>
  <c r="V20" i="43"/>
  <c r="R20" i="43"/>
  <c r="W19" i="43"/>
  <c r="R19" i="43"/>
  <c r="V18" i="43"/>
  <c r="R18" i="43"/>
  <c r="V17" i="43"/>
  <c r="Q17" i="43"/>
  <c r="W16" i="43"/>
  <c r="S16" i="43"/>
  <c r="X15" i="43"/>
  <c r="S15" i="43"/>
  <c r="V14" i="43"/>
  <c r="R14" i="43"/>
  <c r="AA13" i="43"/>
  <c r="U13" i="43"/>
  <c r="W12" i="43"/>
  <c r="S12" i="43"/>
  <c r="X11" i="43"/>
  <c r="S11" i="43"/>
  <c r="W10" i="43"/>
  <c r="S10" i="43"/>
  <c r="AA35" i="43"/>
  <c r="S34" i="43"/>
  <c r="U31" i="43"/>
  <c r="X29" i="43"/>
  <c r="R28" i="43"/>
  <c r="V25" i="43"/>
  <c r="X22" i="43"/>
  <c r="S21" i="43"/>
  <c r="U18" i="43"/>
  <c r="W15" i="43"/>
  <c r="Q14" i="43"/>
  <c r="X12" i="43"/>
  <c r="U11" i="43"/>
  <c r="X10" i="43"/>
  <c r="U9" i="43"/>
  <c r="AA8" i="43"/>
  <c r="V7" i="43"/>
  <c r="W6" i="43"/>
  <c r="R6" i="43"/>
  <c r="V5" i="43"/>
  <c r="Q5" i="43"/>
  <c r="W4" i="43"/>
  <c r="S4" i="43"/>
  <c r="X3" i="43"/>
  <c r="S3" i="43"/>
  <c r="S27" i="43"/>
  <c r="Q20" i="43"/>
  <c r="R12" i="43"/>
  <c r="R10" i="43"/>
  <c r="X6" i="43"/>
  <c r="W5" i="43"/>
  <c r="U35" i="43"/>
  <c r="W32" i="43"/>
  <c r="S29" i="43"/>
  <c r="W26" i="43"/>
  <c r="Q25" i="43"/>
  <c r="AA23" i="43"/>
  <c r="AA20" i="43"/>
  <c r="V19" i="43"/>
  <c r="Q18" i="43"/>
  <c r="V16" i="43"/>
  <c r="R15" i="43"/>
  <c r="X13" i="43"/>
  <c r="V12" i="43"/>
  <c r="R11" i="43"/>
  <c r="V10" i="43"/>
  <c r="AA9" i="43"/>
  <c r="R9" i="43"/>
  <c r="X8" i="43"/>
  <c r="S8" i="43"/>
  <c r="U7" i="43"/>
  <c r="U6" i="43"/>
  <c r="Q6" i="43"/>
  <c r="AA5" i="43"/>
  <c r="U5" i="43"/>
  <c r="V4" i="43"/>
  <c r="R4" i="43"/>
  <c r="W3" i="43"/>
  <c r="R3" i="43"/>
  <c r="V28" i="43"/>
  <c r="X21" i="43"/>
  <c r="U14" i="43"/>
  <c r="W11" i="43"/>
  <c r="X7" i="43"/>
  <c r="S6" i="43"/>
  <c r="R5" i="43"/>
  <c r="V33" i="43"/>
  <c r="R32" i="43"/>
  <c r="V30" i="43"/>
  <c r="X27" i="43"/>
  <c r="S26" i="43"/>
  <c r="X24" i="43"/>
  <c r="U23" i="43"/>
  <c r="U20" i="43"/>
  <c r="Q19" i="43"/>
  <c r="AA17" i="43"/>
  <c r="R16" i="43"/>
  <c r="AA14" i="43"/>
  <c r="S13" i="43"/>
  <c r="AA11" i="43"/>
  <c r="W9" i="43"/>
  <c r="Q9" i="43"/>
  <c r="W8" i="43"/>
  <c r="Q8" i="43"/>
  <c r="AA7" i="43"/>
  <c r="S7" i="43"/>
  <c r="AA6" i="43"/>
  <c r="X5" i="43"/>
  <c r="S5" i="43"/>
  <c r="AA4" i="43"/>
  <c r="U4" i="43"/>
  <c r="Q4" i="43"/>
  <c r="V3" i="43"/>
  <c r="Q3" i="43"/>
  <c r="X34" i="43"/>
  <c r="Q33" i="43"/>
  <c r="AA31" i="43"/>
  <c r="Q30" i="43"/>
  <c r="AA18" i="43"/>
  <c r="U17" i="43"/>
  <c r="V9" i="43"/>
  <c r="U8" i="43"/>
  <c r="Q7" i="43"/>
  <c r="X4" i="43"/>
  <c r="AA3" i="43"/>
  <c r="U3" i="43"/>
  <c r="C3" i="40"/>
  <c r="C9" i="3" s="1"/>
  <c r="I85" i="1" s="1"/>
  <c r="E3" i="40"/>
  <c r="G3" i="40"/>
  <c r="I3" i="40"/>
  <c r="M3" i="40"/>
  <c r="C4" i="40"/>
  <c r="E4" i="40"/>
  <c r="G4" i="40"/>
  <c r="I4" i="40"/>
  <c r="M4" i="40"/>
  <c r="C5" i="40"/>
  <c r="E5" i="40"/>
  <c r="G5" i="40"/>
  <c r="I5" i="40"/>
  <c r="M5" i="40"/>
  <c r="C6" i="40"/>
  <c r="E6" i="40"/>
  <c r="G6" i="40"/>
  <c r="I6" i="40"/>
  <c r="M6" i="40"/>
  <c r="C7" i="40"/>
  <c r="E7" i="40"/>
  <c r="G7" i="40"/>
  <c r="I7" i="40"/>
  <c r="M7" i="40"/>
  <c r="C8" i="40"/>
  <c r="E8" i="40"/>
  <c r="G8" i="40"/>
  <c r="I8" i="40"/>
  <c r="M8" i="40"/>
  <c r="C9" i="40"/>
  <c r="E9" i="40"/>
  <c r="G9" i="40"/>
  <c r="I9" i="40"/>
  <c r="M9" i="40"/>
  <c r="C10" i="40"/>
  <c r="E10" i="40"/>
  <c r="G10" i="40"/>
  <c r="I10" i="40"/>
  <c r="M10" i="40"/>
  <c r="C11" i="40"/>
  <c r="E11" i="40"/>
  <c r="G11" i="40"/>
  <c r="I11" i="40"/>
  <c r="M11" i="40"/>
  <c r="C12" i="40"/>
  <c r="E12" i="40"/>
  <c r="G12" i="40"/>
  <c r="I12" i="40"/>
  <c r="M12" i="40"/>
  <c r="C13" i="40"/>
  <c r="E13" i="40"/>
  <c r="G13" i="40"/>
  <c r="I13" i="40"/>
  <c r="M13" i="40"/>
  <c r="C14" i="40"/>
  <c r="E14" i="40"/>
  <c r="G14" i="40"/>
  <c r="I14" i="40"/>
  <c r="M14" i="40"/>
  <c r="C15" i="40"/>
  <c r="E15" i="40"/>
  <c r="G15" i="40"/>
  <c r="I15" i="40"/>
  <c r="M15" i="40"/>
  <c r="C16" i="40"/>
  <c r="E16" i="40"/>
  <c r="G16" i="40"/>
  <c r="I16" i="40"/>
  <c r="M16" i="40"/>
  <c r="C17" i="40"/>
  <c r="E17" i="40"/>
  <c r="G17" i="40"/>
  <c r="I17" i="40"/>
  <c r="M17" i="40"/>
  <c r="C18" i="40"/>
  <c r="E18" i="40"/>
  <c r="G18" i="40"/>
  <c r="I18" i="40"/>
  <c r="M18" i="40"/>
  <c r="C19" i="40"/>
  <c r="E19" i="40"/>
  <c r="G19" i="40"/>
  <c r="I19" i="40"/>
  <c r="M19" i="40"/>
  <c r="C20" i="40"/>
  <c r="E20" i="40"/>
  <c r="G20" i="40"/>
  <c r="I20" i="40"/>
  <c r="M20" i="40"/>
  <c r="C21" i="40"/>
  <c r="E21" i="40"/>
  <c r="G21" i="40"/>
  <c r="I21" i="40"/>
  <c r="M21" i="40"/>
  <c r="C22" i="40"/>
  <c r="E22" i="40"/>
  <c r="G22" i="40"/>
  <c r="I22" i="40"/>
  <c r="M22" i="40"/>
  <c r="C23" i="40"/>
  <c r="E23" i="40"/>
  <c r="G23" i="40"/>
  <c r="I23" i="40"/>
  <c r="M23" i="40"/>
  <c r="C24" i="40"/>
  <c r="E24" i="40"/>
  <c r="G24" i="40"/>
  <c r="I24" i="40"/>
  <c r="M24" i="40"/>
  <c r="C25" i="40"/>
  <c r="E25" i="40"/>
  <c r="G25" i="40"/>
  <c r="I25" i="40"/>
  <c r="M25" i="40"/>
  <c r="C26" i="40"/>
  <c r="E26" i="40"/>
  <c r="G26" i="40"/>
  <c r="I26" i="40"/>
  <c r="M26" i="40"/>
  <c r="C27" i="40"/>
  <c r="E27" i="40"/>
  <c r="G27" i="40"/>
  <c r="I27" i="40"/>
  <c r="M27" i="40"/>
  <c r="C28" i="40"/>
  <c r="E28" i="40"/>
  <c r="G28" i="40"/>
  <c r="I28" i="40"/>
  <c r="M28" i="40"/>
  <c r="C29" i="40"/>
  <c r="E29" i="40"/>
  <c r="G29" i="40"/>
  <c r="I29" i="40"/>
  <c r="M29" i="40"/>
  <c r="C30" i="40"/>
  <c r="E30" i="40"/>
  <c r="G30" i="40"/>
  <c r="I30" i="40"/>
  <c r="M30" i="40"/>
  <c r="C31" i="40"/>
  <c r="E31" i="40"/>
  <c r="G31" i="40"/>
  <c r="I31" i="40"/>
  <c r="M31" i="40"/>
  <c r="C32" i="40"/>
  <c r="E32" i="40"/>
  <c r="G32" i="40"/>
  <c r="I32" i="40"/>
  <c r="M32" i="40"/>
  <c r="C33" i="40"/>
  <c r="E33" i="40"/>
  <c r="G33" i="40"/>
  <c r="I33" i="40"/>
  <c r="M33" i="40"/>
  <c r="C34" i="40"/>
  <c r="E34" i="40"/>
  <c r="G34" i="40"/>
  <c r="I34" i="40"/>
  <c r="M34" i="40"/>
  <c r="B4" i="39"/>
  <c r="B6" i="39"/>
  <c r="B8" i="39"/>
  <c r="B10" i="39"/>
  <c r="B12" i="39"/>
  <c r="B14" i="39"/>
  <c r="B16" i="39"/>
  <c r="B18" i="39"/>
  <c r="B20" i="39"/>
  <c r="B22" i="39"/>
  <c r="B24" i="39"/>
  <c r="B26" i="39"/>
  <c r="B28" i="39"/>
  <c r="B30" i="39"/>
  <c r="B32" i="39"/>
  <c r="B34" i="39"/>
  <c r="C3" i="39"/>
  <c r="E3" i="39"/>
  <c r="G3" i="39"/>
  <c r="I3" i="39"/>
  <c r="K3" i="39"/>
  <c r="M3" i="39"/>
  <c r="D4" i="39"/>
  <c r="F4" i="39"/>
  <c r="H4" i="39"/>
  <c r="J4" i="39"/>
  <c r="L4" i="39"/>
  <c r="C5" i="39"/>
  <c r="E5" i="39"/>
  <c r="G5" i="39"/>
  <c r="I5" i="39"/>
  <c r="K5" i="39"/>
  <c r="M5" i="39"/>
  <c r="D6" i="39"/>
  <c r="F6" i="39"/>
  <c r="H6" i="39"/>
  <c r="J6" i="39"/>
  <c r="L6" i="39"/>
  <c r="C7" i="39"/>
  <c r="E7" i="39"/>
  <c r="G7" i="39"/>
  <c r="I7" i="39"/>
  <c r="K7" i="39"/>
  <c r="M7" i="39"/>
  <c r="D8" i="39"/>
  <c r="F8" i="39"/>
  <c r="H8" i="39"/>
  <c r="J8" i="39"/>
  <c r="L8" i="39"/>
  <c r="C9" i="39"/>
  <c r="E9" i="39"/>
  <c r="G9" i="39"/>
  <c r="I9" i="39"/>
  <c r="K9" i="39"/>
  <c r="M9" i="39"/>
  <c r="D10" i="39"/>
  <c r="F10" i="39"/>
  <c r="H10" i="39"/>
  <c r="J10" i="39"/>
  <c r="L10" i="39"/>
  <c r="C11" i="39"/>
  <c r="E11" i="39"/>
  <c r="G11" i="39"/>
  <c r="I11" i="39"/>
  <c r="K11" i="39"/>
  <c r="M11" i="39"/>
  <c r="D12" i="39"/>
  <c r="F12" i="39"/>
  <c r="H12" i="39"/>
  <c r="J12" i="39"/>
  <c r="L12" i="39"/>
  <c r="C13" i="39"/>
  <c r="E13" i="39"/>
  <c r="G13" i="39"/>
  <c r="I13" i="39"/>
  <c r="K13" i="39"/>
  <c r="M13" i="39"/>
  <c r="D14" i="39"/>
  <c r="F14" i="39"/>
  <c r="H14" i="39"/>
  <c r="J14" i="39"/>
  <c r="L14" i="39"/>
  <c r="C15" i="39"/>
  <c r="E15" i="39"/>
  <c r="G15" i="39"/>
  <c r="I15" i="39"/>
  <c r="K15" i="39"/>
  <c r="M15" i="39"/>
  <c r="D16" i="39"/>
  <c r="F16" i="39"/>
  <c r="H16" i="39"/>
  <c r="J16" i="39"/>
  <c r="L16" i="39"/>
  <c r="C17" i="39"/>
  <c r="E17" i="39"/>
  <c r="G17" i="39"/>
  <c r="I17" i="39"/>
  <c r="K17" i="39"/>
  <c r="M17" i="39"/>
  <c r="D18" i="39"/>
  <c r="F18" i="39"/>
  <c r="H18" i="39"/>
  <c r="J18" i="39"/>
  <c r="L18" i="39"/>
  <c r="C19" i="39"/>
  <c r="E19" i="39"/>
  <c r="G19" i="39"/>
  <c r="I19" i="39"/>
  <c r="K19" i="39"/>
  <c r="M19" i="39"/>
  <c r="D20" i="39"/>
  <c r="F20" i="39"/>
  <c r="H20" i="39"/>
  <c r="J20" i="39"/>
  <c r="L20" i="39"/>
  <c r="C21" i="39"/>
  <c r="E21" i="39"/>
  <c r="G21" i="39"/>
  <c r="I21" i="39"/>
  <c r="K21" i="39"/>
  <c r="M21" i="39"/>
  <c r="D22" i="39"/>
  <c r="F22" i="39"/>
  <c r="H22" i="39"/>
  <c r="J22" i="39"/>
  <c r="L22" i="39"/>
  <c r="C23" i="39"/>
  <c r="E23" i="39"/>
  <c r="G23" i="39"/>
  <c r="I23" i="39"/>
  <c r="K23" i="39"/>
  <c r="M23" i="39"/>
  <c r="D24" i="39"/>
  <c r="F24" i="39"/>
  <c r="H24" i="39"/>
  <c r="J24" i="39"/>
  <c r="L24" i="39"/>
  <c r="C25" i="39"/>
  <c r="E25" i="39"/>
  <c r="G25" i="39"/>
  <c r="I25" i="39"/>
  <c r="K25" i="39"/>
  <c r="M25" i="39"/>
  <c r="D26" i="39"/>
  <c r="F26" i="39"/>
  <c r="H26" i="39"/>
  <c r="J26" i="39"/>
  <c r="L26" i="39"/>
  <c r="C27" i="39"/>
  <c r="E27" i="39"/>
  <c r="G27" i="39"/>
  <c r="I27" i="39"/>
  <c r="K27" i="39"/>
  <c r="M27" i="39"/>
  <c r="D28" i="39"/>
  <c r="F28" i="39"/>
  <c r="H28" i="39"/>
  <c r="J28" i="39"/>
  <c r="L28" i="39"/>
  <c r="C29" i="39"/>
  <c r="E29" i="39"/>
  <c r="G29" i="39"/>
  <c r="I29" i="39"/>
  <c r="K29" i="39"/>
  <c r="M29" i="39"/>
  <c r="D30" i="39"/>
  <c r="F30" i="39"/>
  <c r="H30" i="39"/>
  <c r="J30" i="39"/>
  <c r="L30" i="39"/>
  <c r="C31" i="39"/>
  <c r="E31" i="39"/>
  <c r="G31" i="39"/>
  <c r="I31" i="39"/>
  <c r="K31" i="39"/>
  <c r="M31" i="39"/>
  <c r="D32" i="39"/>
  <c r="F32" i="39"/>
  <c r="H32" i="39"/>
  <c r="J32" i="39"/>
  <c r="L32" i="39"/>
  <c r="C33" i="39"/>
  <c r="E33" i="39"/>
  <c r="G33" i="39"/>
  <c r="I33" i="39"/>
  <c r="K33" i="39"/>
  <c r="M33" i="39"/>
  <c r="D34" i="39"/>
  <c r="F34" i="39"/>
  <c r="H34" i="39"/>
  <c r="J34" i="39"/>
  <c r="L34" i="39"/>
  <c r="C35" i="39"/>
  <c r="E35" i="39"/>
  <c r="G35" i="39"/>
  <c r="I35" i="39"/>
  <c r="K35" i="39"/>
  <c r="O20" i="3" s="1"/>
  <c r="M35" i="39"/>
  <c r="M35" i="37"/>
  <c r="K35" i="37"/>
  <c r="I35" i="37"/>
  <c r="G35" i="37"/>
  <c r="E35" i="37"/>
  <c r="C35" i="37"/>
  <c r="L34" i="37"/>
  <c r="J34" i="37"/>
  <c r="H34" i="37"/>
  <c r="F34" i="37"/>
  <c r="D34" i="37"/>
  <c r="M33" i="37"/>
  <c r="K33" i="37"/>
  <c r="I33" i="37"/>
  <c r="G33" i="37"/>
  <c r="E33" i="37"/>
  <c r="C33" i="37"/>
  <c r="L32" i="37"/>
  <c r="J32" i="37"/>
  <c r="H32" i="37"/>
  <c r="F32" i="37"/>
  <c r="D32" i="37"/>
  <c r="M31" i="37"/>
  <c r="K31" i="37"/>
  <c r="I31" i="37"/>
  <c r="G31" i="37"/>
  <c r="E31" i="37"/>
  <c r="C31" i="37"/>
  <c r="L30" i="37"/>
  <c r="J30" i="37"/>
  <c r="H30" i="37"/>
  <c r="F30" i="37"/>
  <c r="D30" i="37"/>
  <c r="M29" i="37"/>
  <c r="K29" i="37"/>
  <c r="I29" i="37"/>
  <c r="G29" i="37"/>
  <c r="E29" i="37"/>
  <c r="C29" i="37"/>
  <c r="L28" i="37"/>
  <c r="J28" i="37"/>
  <c r="H28" i="37"/>
  <c r="F28" i="37"/>
  <c r="D28" i="37"/>
  <c r="M27" i="37"/>
  <c r="K27" i="37"/>
  <c r="I27" i="37"/>
  <c r="G27" i="37"/>
  <c r="E27" i="37"/>
  <c r="C27" i="37"/>
  <c r="L26" i="37"/>
  <c r="J26" i="37"/>
  <c r="H26" i="37"/>
  <c r="F26" i="37"/>
  <c r="D26" i="37"/>
  <c r="M25" i="37"/>
  <c r="L35" i="37"/>
  <c r="J35" i="37"/>
  <c r="H35" i="37"/>
  <c r="F35" i="37"/>
  <c r="D35" i="37"/>
  <c r="M34" i="37"/>
  <c r="K34" i="37"/>
  <c r="I34" i="37"/>
  <c r="G34" i="37"/>
  <c r="E34" i="37"/>
  <c r="C34" i="37"/>
  <c r="L33" i="37"/>
  <c r="J33" i="37"/>
  <c r="H33" i="37"/>
  <c r="F33" i="37"/>
  <c r="D33" i="37"/>
  <c r="M32" i="37"/>
  <c r="K32" i="37"/>
  <c r="I32" i="37"/>
  <c r="G32" i="37"/>
  <c r="E32" i="37"/>
  <c r="C32" i="37"/>
  <c r="L31" i="37"/>
  <c r="J31" i="37"/>
  <c r="H31" i="37"/>
  <c r="F31" i="37"/>
  <c r="D31" i="37"/>
  <c r="M30" i="37"/>
  <c r="K30" i="37"/>
  <c r="I30" i="37"/>
  <c r="G30" i="37"/>
  <c r="E30" i="37"/>
  <c r="C30" i="37"/>
  <c r="L29" i="37"/>
  <c r="J29" i="37"/>
  <c r="H29" i="37"/>
  <c r="F29" i="37"/>
  <c r="D29" i="37"/>
  <c r="M28" i="37"/>
  <c r="K28" i="37"/>
  <c r="I28" i="37"/>
  <c r="G28" i="37"/>
  <c r="E28" i="37"/>
  <c r="C28" i="37"/>
  <c r="L27" i="37"/>
  <c r="J27" i="37"/>
  <c r="H27" i="37"/>
  <c r="F27" i="37"/>
  <c r="D27" i="37"/>
  <c r="M26" i="37"/>
  <c r="K26" i="37"/>
  <c r="I26" i="37"/>
  <c r="G26" i="37"/>
  <c r="E26" i="37"/>
  <c r="C26" i="37"/>
  <c r="B4" i="37"/>
  <c r="B6" i="37"/>
  <c r="B8" i="37"/>
  <c r="B10" i="37"/>
  <c r="B12" i="37"/>
  <c r="B14" i="37"/>
  <c r="B16" i="37"/>
  <c r="B18" i="37"/>
  <c r="B20" i="37"/>
  <c r="B22" i="37"/>
  <c r="B24" i="37"/>
  <c r="B26" i="37"/>
  <c r="B28" i="37"/>
  <c r="B30" i="37"/>
  <c r="B32" i="37"/>
  <c r="B34" i="37"/>
  <c r="C3" i="37"/>
  <c r="E3" i="37"/>
  <c r="G3" i="37"/>
  <c r="I3" i="37"/>
  <c r="K3" i="37"/>
  <c r="M3" i="37"/>
  <c r="D4" i="37"/>
  <c r="F4" i="37"/>
  <c r="H4" i="37"/>
  <c r="J4" i="37"/>
  <c r="L4" i="37"/>
  <c r="C5" i="37"/>
  <c r="E5" i="37"/>
  <c r="G5" i="37"/>
  <c r="I5" i="37"/>
  <c r="K5" i="37"/>
  <c r="M5" i="37"/>
  <c r="D6" i="37"/>
  <c r="F6" i="37"/>
  <c r="H6" i="37"/>
  <c r="J6" i="37"/>
  <c r="L6" i="37"/>
  <c r="C7" i="37"/>
  <c r="E7" i="37"/>
  <c r="G7" i="37"/>
  <c r="I7" i="37"/>
  <c r="K7" i="37"/>
  <c r="M7" i="37"/>
  <c r="D8" i="37"/>
  <c r="F8" i="37"/>
  <c r="H8" i="37"/>
  <c r="J8" i="37"/>
  <c r="L8" i="37"/>
  <c r="C9" i="37"/>
  <c r="E9" i="37"/>
  <c r="G9" i="37"/>
  <c r="I9" i="37"/>
  <c r="K9" i="37"/>
  <c r="M9" i="37"/>
  <c r="D10" i="37"/>
  <c r="F10" i="37"/>
  <c r="H10" i="37"/>
  <c r="J10" i="37"/>
  <c r="L10" i="37"/>
  <c r="C11" i="37"/>
  <c r="E11" i="37"/>
  <c r="G11" i="37"/>
  <c r="I11" i="37"/>
  <c r="K11" i="37"/>
  <c r="M11" i="37"/>
  <c r="D12" i="37"/>
  <c r="F12" i="37"/>
  <c r="H12" i="37"/>
  <c r="J12" i="37"/>
  <c r="L12" i="37"/>
  <c r="C13" i="37"/>
  <c r="E13" i="37"/>
  <c r="G13" i="37"/>
  <c r="I13" i="37"/>
  <c r="K13" i="37"/>
  <c r="M13" i="37"/>
  <c r="D14" i="37"/>
  <c r="F14" i="37"/>
  <c r="H14" i="37"/>
  <c r="J14" i="37"/>
  <c r="L14" i="37"/>
  <c r="C15" i="37"/>
  <c r="E15" i="37"/>
  <c r="G15" i="37"/>
  <c r="I15" i="37"/>
  <c r="K15" i="37"/>
  <c r="M15" i="37"/>
  <c r="D16" i="37"/>
  <c r="F16" i="37"/>
  <c r="H16" i="37"/>
  <c r="J16" i="37"/>
  <c r="L16" i="37"/>
  <c r="C17" i="37"/>
  <c r="E17" i="37"/>
  <c r="G17" i="37"/>
  <c r="I17" i="37"/>
  <c r="K17" i="37"/>
  <c r="M17" i="37"/>
  <c r="D18" i="37"/>
  <c r="F18" i="37"/>
  <c r="H18" i="37"/>
  <c r="J18" i="37"/>
  <c r="L18" i="37"/>
  <c r="C19" i="37"/>
  <c r="E19" i="37"/>
  <c r="G19" i="37"/>
  <c r="I19" i="37"/>
  <c r="K19" i="37"/>
  <c r="M19" i="37"/>
  <c r="D20" i="37"/>
  <c r="F20" i="37"/>
  <c r="H20" i="37"/>
  <c r="J20" i="37"/>
  <c r="L20" i="37"/>
  <c r="C21" i="37"/>
  <c r="E21" i="37"/>
  <c r="G21" i="37"/>
  <c r="I21" i="37"/>
  <c r="K21" i="37"/>
  <c r="M21" i="37"/>
  <c r="D22" i="37"/>
  <c r="F22" i="37"/>
  <c r="H22" i="37"/>
  <c r="J22" i="37"/>
  <c r="L22" i="37"/>
  <c r="C23" i="37"/>
  <c r="E23" i="37"/>
  <c r="G23" i="37"/>
  <c r="I23" i="37"/>
  <c r="K23" i="37"/>
  <c r="M23" i="37"/>
  <c r="D24" i="37"/>
  <c r="F24" i="37"/>
  <c r="H24" i="37"/>
  <c r="J24" i="37"/>
  <c r="L24" i="37"/>
  <c r="C25" i="37"/>
  <c r="E25" i="37"/>
  <c r="G25" i="37"/>
  <c r="I25" i="37"/>
  <c r="K25" i="37"/>
  <c r="B3" i="40"/>
  <c r="D3" i="40"/>
  <c r="F3" i="40"/>
  <c r="H3" i="40"/>
  <c r="J3" i="40"/>
  <c r="B4" i="40"/>
  <c r="D4" i="40"/>
  <c r="F4" i="40"/>
  <c r="H4" i="40"/>
  <c r="J4" i="40"/>
  <c r="B5" i="40"/>
  <c r="D5" i="40"/>
  <c r="F5" i="40"/>
  <c r="H5" i="40"/>
  <c r="J5" i="40"/>
  <c r="B6" i="40"/>
  <c r="D6" i="40"/>
  <c r="F6" i="40"/>
  <c r="H6" i="40"/>
  <c r="J6" i="40"/>
  <c r="B7" i="40"/>
  <c r="D7" i="40"/>
  <c r="F7" i="40"/>
  <c r="H7" i="40"/>
  <c r="J7" i="40"/>
  <c r="B8" i="40"/>
  <c r="D8" i="40"/>
  <c r="F8" i="40"/>
  <c r="H8" i="40"/>
  <c r="J8" i="40"/>
  <c r="B9" i="40"/>
  <c r="D9" i="40"/>
  <c r="F9" i="40"/>
  <c r="H9" i="40"/>
  <c r="J9" i="40"/>
  <c r="B10" i="40"/>
  <c r="D10" i="40"/>
  <c r="F10" i="40"/>
  <c r="H10" i="40"/>
  <c r="J10" i="40"/>
  <c r="B11" i="40"/>
  <c r="D11" i="40"/>
  <c r="F11" i="40"/>
  <c r="H11" i="40"/>
  <c r="J11" i="40"/>
  <c r="B12" i="40"/>
  <c r="D12" i="40"/>
  <c r="F12" i="40"/>
  <c r="H12" i="40"/>
  <c r="J12" i="40"/>
  <c r="B13" i="40"/>
  <c r="D13" i="40"/>
  <c r="F13" i="40"/>
  <c r="H13" i="40"/>
  <c r="J13" i="40"/>
  <c r="B14" i="40"/>
  <c r="D14" i="40"/>
  <c r="F14" i="40"/>
  <c r="H14" i="40"/>
  <c r="J14" i="40"/>
  <c r="B15" i="40"/>
  <c r="D15" i="40"/>
  <c r="F15" i="40"/>
  <c r="H15" i="40"/>
  <c r="J15" i="40"/>
  <c r="B16" i="40"/>
  <c r="D16" i="40"/>
  <c r="F16" i="40"/>
  <c r="H16" i="40"/>
  <c r="J16" i="40"/>
  <c r="B17" i="40"/>
  <c r="D17" i="40"/>
  <c r="F17" i="40"/>
  <c r="H17" i="40"/>
  <c r="J17" i="40"/>
  <c r="B18" i="40"/>
  <c r="D18" i="40"/>
  <c r="F18" i="40"/>
  <c r="H18" i="40"/>
  <c r="J18" i="40"/>
  <c r="B19" i="40"/>
  <c r="D19" i="40"/>
  <c r="F19" i="40"/>
  <c r="H19" i="40"/>
  <c r="J19" i="40"/>
  <c r="B20" i="40"/>
  <c r="D20" i="40"/>
  <c r="F20" i="40"/>
  <c r="H20" i="40"/>
  <c r="J20" i="40"/>
  <c r="B21" i="40"/>
  <c r="D21" i="40"/>
  <c r="F21" i="40"/>
  <c r="H21" i="40"/>
  <c r="J21" i="40"/>
  <c r="B22" i="40"/>
  <c r="D22" i="40"/>
  <c r="F22" i="40"/>
  <c r="H22" i="40"/>
  <c r="J22" i="40"/>
  <c r="B23" i="40"/>
  <c r="D23" i="40"/>
  <c r="F23" i="40"/>
  <c r="H23" i="40"/>
  <c r="J23" i="40"/>
  <c r="B24" i="40"/>
  <c r="D24" i="40"/>
  <c r="F24" i="40"/>
  <c r="H24" i="40"/>
  <c r="J24" i="40"/>
  <c r="B25" i="40"/>
  <c r="D25" i="40"/>
  <c r="F25" i="40"/>
  <c r="H25" i="40"/>
  <c r="J25" i="40"/>
  <c r="B26" i="40"/>
  <c r="D26" i="40"/>
  <c r="F26" i="40"/>
  <c r="H26" i="40"/>
  <c r="J26" i="40"/>
  <c r="B27" i="40"/>
  <c r="D27" i="40"/>
  <c r="F27" i="40"/>
  <c r="H27" i="40"/>
  <c r="J27" i="40"/>
  <c r="B28" i="40"/>
  <c r="D28" i="40"/>
  <c r="F28" i="40"/>
  <c r="H28" i="40"/>
  <c r="J28" i="40"/>
  <c r="B29" i="40"/>
  <c r="D29" i="40"/>
  <c r="F29" i="40"/>
  <c r="H29" i="40"/>
  <c r="J29" i="40"/>
  <c r="B30" i="40"/>
  <c r="D30" i="40"/>
  <c r="F30" i="40"/>
  <c r="H30" i="40"/>
  <c r="J30" i="40"/>
  <c r="B31" i="40"/>
  <c r="D31" i="40"/>
  <c r="F31" i="40"/>
  <c r="H31" i="40"/>
  <c r="J31" i="40"/>
  <c r="B32" i="40"/>
  <c r="D32" i="40"/>
  <c r="F32" i="40"/>
  <c r="H32" i="40"/>
  <c r="J32" i="40"/>
  <c r="B33" i="40"/>
  <c r="D33" i="40"/>
  <c r="F33" i="40"/>
  <c r="H33" i="40"/>
  <c r="J33" i="40"/>
  <c r="B34" i="40"/>
  <c r="D34" i="40"/>
  <c r="F34" i="40"/>
  <c r="H34" i="40"/>
  <c r="J34" i="40"/>
  <c r="B3" i="39"/>
  <c r="B5" i="39"/>
  <c r="B7" i="39"/>
  <c r="B9" i="39"/>
  <c r="B11" i="39"/>
  <c r="B13" i="39"/>
  <c r="B15" i="39"/>
  <c r="B17" i="39"/>
  <c r="B19" i="39"/>
  <c r="B21" i="39"/>
  <c r="B23" i="39"/>
  <c r="B25" i="39"/>
  <c r="B27" i="39"/>
  <c r="B29" i="39"/>
  <c r="B31" i="39"/>
  <c r="B33" i="39"/>
  <c r="B35" i="39"/>
  <c r="D3" i="39"/>
  <c r="F3" i="39"/>
  <c r="H3" i="39"/>
  <c r="J3" i="39"/>
  <c r="L3" i="39"/>
  <c r="C4" i="39"/>
  <c r="E4" i="39"/>
  <c r="G4" i="39"/>
  <c r="I4" i="39"/>
  <c r="K4" i="39"/>
  <c r="M4" i="39"/>
  <c r="D5" i="39"/>
  <c r="F5" i="39"/>
  <c r="H5" i="39"/>
  <c r="J5" i="39"/>
  <c r="L5" i="39"/>
  <c r="C6" i="39"/>
  <c r="E6" i="39"/>
  <c r="G6" i="39"/>
  <c r="I6" i="39"/>
  <c r="K6" i="39"/>
  <c r="M6" i="39"/>
  <c r="D7" i="39"/>
  <c r="F7" i="39"/>
  <c r="H7" i="39"/>
  <c r="J7" i="39"/>
  <c r="L7" i="39"/>
  <c r="C8" i="39"/>
  <c r="E8" i="39"/>
  <c r="G8" i="39"/>
  <c r="I8" i="39"/>
  <c r="K8" i="39"/>
  <c r="M8" i="39"/>
  <c r="D9" i="39"/>
  <c r="F9" i="39"/>
  <c r="H9" i="39"/>
  <c r="J9" i="39"/>
  <c r="L9" i="39"/>
  <c r="C10" i="39"/>
  <c r="E10" i="39"/>
  <c r="G10" i="39"/>
  <c r="I10" i="39"/>
  <c r="K10" i="39"/>
  <c r="M10" i="39"/>
  <c r="D11" i="39"/>
  <c r="F11" i="39"/>
  <c r="H11" i="39"/>
  <c r="J11" i="39"/>
  <c r="L11" i="39"/>
  <c r="C12" i="39"/>
  <c r="E12" i="39"/>
  <c r="G12" i="39"/>
  <c r="I12" i="39"/>
  <c r="K12" i="39"/>
  <c r="M12" i="39"/>
  <c r="D13" i="39"/>
  <c r="F13" i="39"/>
  <c r="H13" i="39"/>
  <c r="J13" i="39"/>
  <c r="L13" i="39"/>
  <c r="C14" i="39"/>
  <c r="E14" i="39"/>
  <c r="G14" i="39"/>
  <c r="I14" i="39"/>
  <c r="K14" i="39"/>
  <c r="M14" i="39"/>
  <c r="D15" i="39"/>
  <c r="F15" i="39"/>
  <c r="H15" i="39"/>
  <c r="J15" i="39"/>
  <c r="L15" i="39"/>
  <c r="C16" i="39"/>
  <c r="E16" i="39"/>
  <c r="G16" i="39"/>
  <c r="I16" i="39"/>
  <c r="K16" i="39"/>
  <c r="M16" i="39"/>
  <c r="D17" i="39"/>
  <c r="F17" i="39"/>
  <c r="H17" i="39"/>
  <c r="J17" i="39"/>
  <c r="L17" i="39"/>
  <c r="C18" i="39"/>
  <c r="E18" i="39"/>
  <c r="G18" i="39"/>
  <c r="I18" i="39"/>
  <c r="K18" i="39"/>
  <c r="M18" i="39"/>
  <c r="D19" i="39"/>
  <c r="F19" i="39"/>
  <c r="H19" i="39"/>
  <c r="J19" i="39"/>
  <c r="L19" i="39"/>
  <c r="C20" i="39"/>
  <c r="E20" i="39"/>
  <c r="G20" i="39"/>
  <c r="I20" i="39"/>
  <c r="K20" i="39"/>
  <c r="M20" i="39"/>
  <c r="D21" i="39"/>
  <c r="F21" i="39"/>
  <c r="H21" i="39"/>
  <c r="J21" i="39"/>
  <c r="L21" i="39"/>
  <c r="C22" i="39"/>
  <c r="E22" i="39"/>
  <c r="G22" i="39"/>
  <c r="I22" i="39"/>
  <c r="K22" i="39"/>
  <c r="M22" i="39"/>
  <c r="D23" i="39"/>
  <c r="F23" i="39"/>
  <c r="H23" i="39"/>
  <c r="J23" i="39"/>
  <c r="L23" i="39"/>
  <c r="C24" i="39"/>
  <c r="E24" i="39"/>
  <c r="G24" i="39"/>
  <c r="I24" i="39"/>
  <c r="K24" i="39"/>
  <c r="M24" i="39"/>
  <c r="D25" i="39"/>
  <c r="F25" i="39"/>
  <c r="H25" i="39"/>
  <c r="J25" i="39"/>
  <c r="L25" i="39"/>
  <c r="C26" i="39"/>
  <c r="E26" i="39"/>
  <c r="G26" i="39"/>
  <c r="I26" i="39"/>
  <c r="K26" i="39"/>
  <c r="M26" i="39"/>
  <c r="D27" i="39"/>
  <c r="F27" i="39"/>
  <c r="H27" i="39"/>
  <c r="J27" i="39"/>
  <c r="L27" i="39"/>
  <c r="C28" i="39"/>
  <c r="E28" i="39"/>
  <c r="G28" i="39"/>
  <c r="I28" i="39"/>
  <c r="K28" i="39"/>
  <c r="M28" i="39"/>
  <c r="D29" i="39"/>
  <c r="F29" i="39"/>
  <c r="H29" i="39"/>
  <c r="J29" i="39"/>
  <c r="L29" i="39"/>
  <c r="C30" i="39"/>
  <c r="E30" i="39"/>
  <c r="G30" i="39"/>
  <c r="I30" i="39"/>
  <c r="K30" i="39"/>
  <c r="M30" i="39"/>
  <c r="D31" i="39"/>
  <c r="F31" i="39"/>
  <c r="H31" i="39"/>
  <c r="J31" i="39"/>
  <c r="L31" i="39"/>
  <c r="C32" i="39"/>
  <c r="E32" i="39"/>
  <c r="G32" i="39"/>
  <c r="I32" i="39"/>
  <c r="K32" i="39"/>
  <c r="M32" i="39"/>
  <c r="D33" i="39"/>
  <c r="F33" i="39"/>
  <c r="H33" i="39"/>
  <c r="J33" i="39"/>
  <c r="L33" i="39"/>
  <c r="C34" i="39"/>
  <c r="E34" i="39"/>
  <c r="G34" i="39"/>
  <c r="I34" i="39"/>
  <c r="K34" i="39"/>
  <c r="M34" i="39"/>
  <c r="D35" i="39"/>
  <c r="F35" i="39"/>
  <c r="H35" i="39"/>
  <c r="J35" i="39"/>
  <c r="B3" i="37"/>
  <c r="B5" i="37"/>
  <c r="B7" i="37"/>
  <c r="B9" i="37"/>
  <c r="B11" i="37"/>
  <c r="B13" i="37"/>
  <c r="B15" i="37"/>
  <c r="B17" i="37"/>
  <c r="B19" i="37"/>
  <c r="B21" i="37"/>
  <c r="B23" i="37"/>
  <c r="B25" i="37"/>
  <c r="B27" i="37"/>
  <c r="B29" i="37"/>
  <c r="B31" i="37"/>
  <c r="B33" i="37"/>
  <c r="B35" i="37"/>
  <c r="D3" i="37"/>
  <c r="F3" i="37"/>
  <c r="H3" i="37"/>
  <c r="J3" i="37"/>
  <c r="L3" i="37"/>
  <c r="C4" i="37"/>
  <c r="E4" i="37"/>
  <c r="G4" i="37"/>
  <c r="I4" i="37"/>
  <c r="K4" i="37"/>
  <c r="M4" i="37"/>
  <c r="D5" i="37"/>
  <c r="F5" i="37"/>
  <c r="H5" i="37"/>
  <c r="J5" i="37"/>
  <c r="L5" i="37"/>
  <c r="C6" i="37"/>
  <c r="E6" i="37"/>
  <c r="G6" i="37"/>
  <c r="I6" i="37"/>
  <c r="K6" i="37"/>
  <c r="M6" i="37"/>
  <c r="D7" i="37"/>
  <c r="F7" i="37"/>
  <c r="H7" i="37"/>
  <c r="J7" i="37"/>
  <c r="L7" i="37"/>
  <c r="C8" i="37"/>
  <c r="E8" i="37"/>
  <c r="G8" i="37"/>
  <c r="I8" i="37"/>
  <c r="K8" i="37"/>
  <c r="M8" i="37"/>
  <c r="D9" i="37"/>
  <c r="F9" i="37"/>
  <c r="H9" i="37"/>
  <c r="J9" i="37"/>
  <c r="L9" i="37"/>
  <c r="C10" i="37"/>
  <c r="E10" i="37"/>
  <c r="G10" i="37"/>
  <c r="I10" i="37"/>
  <c r="K10" i="37"/>
  <c r="M10" i="37"/>
  <c r="D11" i="37"/>
  <c r="F11" i="37"/>
  <c r="H11" i="37"/>
  <c r="J11" i="37"/>
  <c r="L11" i="37"/>
  <c r="C12" i="37"/>
  <c r="E12" i="37"/>
  <c r="G12" i="37"/>
  <c r="I12" i="37"/>
  <c r="K12" i="37"/>
  <c r="M12" i="37"/>
  <c r="D13" i="37"/>
  <c r="F13" i="37"/>
  <c r="H13" i="37"/>
  <c r="J13" i="37"/>
  <c r="L13" i="37"/>
  <c r="C14" i="37"/>
  <c r="E14" i="37"/>
  <c r="G14" i="37"/>
  <c r="I14" i="37"/>
  <c r="K14" i="37"/>
  <c r="M14" i="37"/>
  <c r="D15" i="37"/>
  <c r="F15" i="37"/>
  <c r="H15" i="37"/>
  <c r="J15" i="37"/>
  <c r="L15" i="37"/>
  <c r="C16" i="37"/>
  <c r="E16" i="37"/>
  <c r="G16" i="37"/>
  <c r="I16" i="37"/>
  <c r="K16" i="37"/>
  <c r="M16" i="37"/>
  <c r="D17" i="37"/>
  <c r="F17" i="37"/>
  <c r="H17" i="37"/>
  <c r="J17" i="37"/>
  <c r="L17" i="37"/>
  <c r="C18" i="37"/>
  <c r="E18" i="37"/>
  <c r="G18" i="37"/>
  <c r="I18" i="37"/>
  <c r="K18" i="37"/>
  <c r="M18" i="37"/>
  <c r="D19" i="37"/>
  <c r="F19" i="37"/>
  <c r="H19" i="37"/>
  <c r="J19" i="37"/>
  <c r="L19" i="37"/>
  <c r="C20" i="37"/>
  <c r="E20" i="37"/>
  <c r="G20" i="37"/>
  <c r="I20" i="37"/>
  <c r="K20" i="37"/>
  <c r="M20" i="37"/>
  <c r="D21" i="37"/>
  <c r="F21" i="37"/>
  <c r="H21" i="37"/>
  <c r="J21" i="37"/>
  <c r="L21" i="37"/>
  <c r="C22" i="37"/>
  <c r="E22" i="37"/>
  <c r="G22" i="37"/>
  <c r="I22" i="37"/>
  <c r="K22" i="37"/>
  <c r="M22" i="37"/>
  <c r="D23" i="37"/>
  <c r="F23" i="37"/>
  <c r="H23" i="37"/>
  <c r="J23" i="37"/>
  <c r="L23" i="37"/>
  <c r="C24" i="37"/>
  <c r="E24" i="37"/>
  <c r="G24" i="37"/>
  <c r="I24" i="37"/>
  <c r="K24" i="37"/>
  <c r="M24" i="37"/>
  <c r="D25" i="37"/>
  <c r="F25" i="37"/>
  <c r="H25" i="37"/>
  <c r="J25" i="37"/>
  <c r="L25" i="37"/>
  <c r="B3" i="18"/>
  <c r="B4" i="35"/>
  <c r="B6" i="35"/>
  <c r="B8" i="35"/>
  <c r="B10" i="35"/>
  <c r="B12" i="35"/>
  <c r="B14" i="35"/>
  <c r="B16" i="35"/>
  <c r="B18" i="35"/>
  <c r="B20" i="35"/>
  <c r="B22" i="35"/>
  <c r="B24" i="35"/>
  <c r="B26" i="35"/>
  <c r="B28" i="35"/>
  <c r="B30" i="35"/>
  <c r="B32" i="35"/>
  <c r="B34" i="35"/>
  <c r="C3" i="35"/>
  <c r="E3" i="35"/>
  <c r="G3" i="35"/>
  <c r="I3" i="35"/>
  <c r="K3" i="35"/>
  <c r="M3" i="35"/>
  <c r="D4" i="35"/>
  <c r="F4" i="35"/>
  <c r="H4" i="35"/>
  <c r="J4" i="35"/>
  <c r="L4" i="35"/>
  <c r="C5" i="35"/>
  <c r="E5" i="35"/>
  <c r="G5" i="35"/>
  <c r="I5" i="35"/>
  <c r="K5" i="35"/>
  <c r="M5" i="35"/>
  <c r="D6" i="35"/>
  <c r="F6" i="35"/>
  <c r="H6" i="35"/>
  <c r="J6" i="35"/>
  <c r="L6" i="35"/>
  <c r="C7" i="35"/>
  <c r="E7" i="35"/>
  <c r="G7" i="35"/>
  <c r="I7" i="35"/>
  <c r="K7" i="35"/>
  <c r="M7" i="35"/>
  <c r="D8" i="35"/>
  <c r="F8" i="35"/>
  <c r="H8" i="35"/>
  <c r="J8" i="35"/>
  <c r="L8" i="35"/>
  <c r="C9" i="35"/>
  <c r="E9" i="35"/>
  <c r="G9" i="35"/>
  <c r="I9" i="35"/>
  <c r="K9" i="35"/>
  <c r="M9" i="35"/>
  <c r="D10" i="35"/>
  <c r="F10" i="35"/>
  <c r="H10" i="35"/>
  <c r="J10" i="35"/>
  <c r="L10" i="35"/>
  <c r="C11" i="35"/>
  <c r="E11" i="35"/>
  <c r="G11" i="35"/>
  <c r="I11" i="35"/>
  <c r="K11" i="35"/>
  <c r="M11" i="35"/>
  <c r="D12" i="35"/>
  <c r="F12" i="35"/>
  <c r="H12" i="35"/>
  <c r="J12" i="35"/>
  <c r="L12" i="35"/>
  <c r="C13" i="35"/>
  <c r="E13" i="35"/>
  <c r="G13" i="35"/>
  <c r="I13" i="35"/>
  <c r="K13" i="35"/>
  <c r="M13" i="35"/>
  <c r="D14" i="35"/>
  <c r="F14" i="35"/>
  <c r="H14" i="35"/>
  <c r="J14" i="35"/>
  <c r="L14" i="35"/>
  <c r="C15" i="35"/>
  <c r="E15" i="35"/>
  <c r="G15" i="35"/>
  <c r="I15" i="35"/>
  <c r="K15" i="35"/>
  <c r="M15" i="35"/>
  <c r="D16" i="35"/>
  <c r="F16" i="35"/>
  <c r="H16" i="35"/>
  <c r="J16" i="35"/>
  <c r="L16" i="35"/>
  <c r="C17" i="35"/>
  <c r="E17" i="35"/>
  <c r="G17" i="35"/>
  <c r="I17" i="35"/>
  <c r="K17" i="35"/>
  <c r="M17" i="35"/>
  <c r="D18" i="35"/>
  <c r="F18" i="35"/>
  <c r="H18" i="35"/>
  <c r="J18" i="35"/>
  <c r="L18" i="35"/>
  <c r="C19" i="35"/>
  <c r="E19" i="35"/>
  <c r="G19" i="35"/>
  <c r="I19" i="35"/>
  <c r="K19" i="35"/>
  <c r="M19" i="35"/>
  <c r="D20" i="35"/>
  <c r="F20" i="35"/>
  <c r="H20" i="35"/>
  <c r="J20" i="35"/>
  <c r="L20" i="35"/>
  <c r="C21" i="35"/>
  <c r="E21" i="35"/>
  <c r="G21" i="35"/>
  <c r="I21" i="35"/>
  <c r="K21" i="35"/>
  <c r="M21" i="35"/>
  <c r="D22" i="35"/>
  <c r="F22" i="35"/>
  <c r="H22" i="35"/>
  <c r="J22" i="35"/>
  <c r="L22" i="35"/>
  <c r="C23" i="35"/>
  <c r="E23" i="35"/>
  <c r="G23" i="35"/>
  <c r="I23" i="35"/>
  <c r="K23" i="35"/>
  <c r="M23" i="35"/>
  <c r="D24" i="35"/>
  <c r="F24" i="35"/>
  <c r="H24" i="35"/>
  <c r="J24" i="35"/>
  <c r="L24" i="35"/>
  <c r="C25" i="35"/>
  <c r="E25" i="35"/>
  <c r="G25" i="35"/>
  <c r="I25" i="35"/>
  <c r="K25" i="35"/>
  <c r="M25" i="35"/>
  <c r="D26" i="35"/>
  <c r="F26" i="35"/>
  <c r="H26" i="35"/>
  <c r="J26" i="35"/>
  <c r="L26" i="35"/>
  <c r="C27" i="35"/>
  <c r="E27" i="35"/>
  <c r="G27" i="35"/>
  <c r="I27" i="35"/>
  <c r="K27" i="35"/>
  <c r="M27" i="35"/>
  <c r="D28" i="35"/>
  <c r="F28" i="35"/>
  <c r="H28" i="35"/>
  <c r="J28" i="35"/>
  <c r="L28" i="35"/>
  <c r="C29" i="35"/>
  <c r="E29" i="35"/>
  <c r="G29" i="35"/>
  <c r="I29" i="35"/>
  <c r="K29" i="35"/>
  <c r="M29" i="35"/>
  <c r="D30" i="35"/>
  <c r="F30" i="35"/>
  <c r="H30" i="35"/>
  <c r="J30" i="35"/>
  <c r="L30" i="35"/>
  <c r="C31" i="35"/>
  <c r="E31" i="35"/>
  <c r="G31" i="35"/>
  <c r="I31" i="35"/>
  <c r="K31" i="35"/>
  <c r="M31" i="35"/>
  <c r="D32" i="35"/>
  <c r="F32" i="35"/>
  <c r="H32" i="35"/>
  <c r="J32" i="35"/>
  <c r="L32" i="35"/>
  <c r="C33" i="35"/>
  <c r="E33" i="35"/>
  <c r="G33" i="35"/>
  <c r="I33" i="35"/>
  <c r="K33" i="35"/>
  <c r="M33" i="35"/>
  <c r="D34" i="35"/>
  <c r="F34" i="35"/>
  <c r="H34" i="35"/>
  <c r="J34" i="35"/>
  <c r="L34" i="35"/>
  <c r="C35" i="35"/>
  <c r="E35" i="35"/>
  <c r="G35" i="35"/>
  <c r="I35" i="35"/>
  <c r="K35" i="35"/>
  <c r="M35" i="35"/>
  <c r="D3" i="18"/>
  <c r="F3" i="18"/>
  <c r="H3" i="18"/>
  <c r="J3" i="18"/>
  <c r="L3" i="18"/>
  <c r="B4" i="18"/>
  <c r="D4" i="18"/>
  <c r="F4" i="18"/>
  <c r="H4" i="18"/>
  <c r="J4" i="18"/>
  <c r="L4" i="18"/>
  <c r="B5" i="18"/>
  <c r="D5" i="18"/>
  <c r="F5" i="18"/>
  <c r="H5" i="18"/>
  <c r="J5" i="18"/>
  <c r="L5" i="18"/>
  <c r="B6" i="18"/>
  <c r="D6" i="18"/>
  <c r="F6" i="18"/>
  <c r="H6" i="18"/>
  <c r="J6" i="18"/>
  <c r="L6" i="18"/>
  <c r="B7" i="18"/>
  <c r="D7" i="18"/>
  <c r="F7" i="18"/>
  <c r="H7" i="18"/>
  <c r="J7" i="18"/>
  <c r="L7" i="18"/>
  <c r="B8" i="18"/>
  <c r="D8" i="18"/>
  <c r="F8" i="18"/>
  <c r="H8" i="18"/>
  <c r="J8" i="18"/>
  <c r="L8" i="18"/>
  <c r="B9" i="18"/>
  <c r="D9" i="18"/>
  <c r="F9" i="18"/>
  <c r="H9" i="18"/>
  <c r="J9" i="18"/>
  <c r="L9" i="18"/>
  <c r="B10" i="18"/>
  <c r="D10" i="18"/>
  <c r="F10" i="18"/>
  <c r="H10" i="18"/>
  <c r="J10" i="18"/>
  <c r="L10" i="18"/>
  <c r="B11" i="18"/>
  <c r="D11" i="18"/>
  <c r="F11" i="18"/>
  <c r="H11" i="18"/>
  <c r="J11" i="18"/>
  <c r="L11" i="18"/>
  <c r="B12" i="18"/>
  <c r="D12" i="18"/>
  <c r="F12" i="18"/>
  <c r="H12" i="18"/>
  <c r="J12" i="18"/>
  <c r="L12" i="18"/>
  <c r="B13" i="18"/>
  <c r="D13" i="18"/>
  <c r="F13" i="18"/>
  <c r="H13" i="18"/>
  <c r="J13" i="18"/>
  <c r="L13" i="18"/>
  <c r="B14" i="18"/>
  <c r="D14" i="18"/>
  <c r="F14" i="18"/>
  <c r="H14" i="18"/>
  <c r="J14" i="18"/>
  <c r="L14" i="18"/>
  <c r="B15" i="18"/>
  <c r="D15" i="18"/>
  <c r="F15" i="18"/>
  <c r="H15" i="18"/>
  <c r="J15" i="18"/>
  <c r="L15" i="18"/>
  <c r="B16" i="18"/>
  <c r="D16" i="18"/>
  <c r="F16" i="18"/>
  <c r="H16" i="18"/>
  <c r="J16" i="18"/>
  <c r="L16" i="18"/>
  <c r="B17" i="18"/>
  <c r="D17" i="18"/>
  <c r="M35" i="18"/>
  <c r="K35" i="18"/>
  <c r="I35" i="18"/>
  <c r="G35" i="18"/>
  <c r="E35" i="18"/>
  <c r="C35" i="18"/>
  <c r="M34" i="18"/>
  <c r="K34" i="18"/>
  <c r="I34" i="18"/>
  <c r="G34" i="18"/>
  <c r="E34" i="18"/>
  <c r="C34" i="18"/>
  <c r="M33" i="18"/>
  <c r="K33" i="18"/>
  <c r="I33" i="18"/>
  <c r="G33" i="18"/>
  <c r="E33" i="18"/>
  <c r="C33" i="18"/>
  <c r="M32" i="18"/>
  <c r="K32" i="18"/>
  <c r="I32" i="18"/>
  <c r="G32" i="18"/>
  <c r="E32" i="18"/>
  <c r="C32" i="18"/>
  <c r="M31" i="18"/>
  <c r="K31" i="18"/>
  <c r="I31" i="18"/>
  <c r="G31" i="18"/>
  <c r="E31" i="18"/>
  <c r="C31" i="18"/>
  <c r="M30" i="18"/>
  <c r="K30" i="18"/>
  <c r="I30" i="18"/>
  <c r="G30" i="18"/>
  <c r="E30" i="18"/>
  <c r="C30" i="18"/>
  <c r="M29" i="18"/>
  <c r="K29" i="18"/>
  <c r="I29" i="18"/>
  <c r="G29" i="18"/>
  <c r="E29" i="18"/>
  <c r="C29" i="18"/>
  <c r="M28" i="18"/>
  <c r="K28" i="18"/>
  <c r="I28" i="18"/>
  <c r="G28" i="18"/>
  <c r="E28" i="18"/>
  <c r="C28" i="18"/>
  <c r="M27" i="18"/>
  <c r="K27" i="18"/>
  <c r="I27" i="18"/>
  <c r="G27" i="18"/>
  <c r="E27" i="18"/>
  <c r="C27" i="18"/>
  <c r="M26" i="18"/>
  <c r="K26" i="18"/>
  <c r="I26" i="18"/>
  <c r="G26" i="18"/>
  <c r="E26" i="18"/>
  <c r="C26" i="18"/>
  <c r="M25" i="18"/>
  <c r="K25" i="18"/>
  <c r="I25" i="18"/>
  <c r="G25" i="18"/>
  <c r="E25" i="18"/>
  <c r="C25" i="18"/>
  <c r="M24" i="18"/>
  <c r="K24" i="18"/>
  <c r="I24" i="18"/>
  <c r="G24" i="18"/>
  <c r="E24" i="18"/>
  <c r="C24" i="18"/>
  <c r="M23" i="18"/>
  <c r="K23" i="18"/>
  <c r="I23" i="18"/>
  <c r="G23" i="18"/>
  <c r="E23" i="18"/>
  <c r="C23" i="18"/>
  <c r="M22" i="18"/>
  <c r="K22" i="18"/>
  <c r="I22" i="18"/>
  <c r="G22" i="18"/>
  <c r="E22" i="18"/>
  <c r="C22" i="18"/>
  <c r="M21" i="18"/>
  <c r="K21" i="18"/>
  <c r="I21" i="18"/>
  <c r="G21" i="18"/>
  <c r="E21" i="18"/>
  <c r="C21" i="18"/>
  <c r="M20" i="18"/>
  <c r="K20" i="18"/>
  <c r="I20" i="18"/>
  <c r="G20" i="18"/>
  <c r="E20" i="18"/>
  <c r="C20" i="18"/>
  <c r="M19" i="18"/>
  <c r="K19" i="18"/>
  <c r="I19" i="18"/>
  <c r="G19" i="18"/>
  <c r="E19" i="18"/>
  <c r="C19" i="18"/>
  <c r="M18" i="18"/>
  <c r="K18" i="18"/>
  <c r="I18" i="18"/>
  <c r="G18" i="18"/>
  <c r="E18" i="18"/>
  <c r="C18" i="18"/>
  <c r="M17" i="18"/>
  <c r="K17" i="18"/>
  <c r="I17" i="18"/>
  <c r="L35" i="18"/>
  <c r="J35" i="18"/>
  <c r="H35" i="18"/>
  <c r="F35" i="18"/>
  <c r="D35" i="18"/>
  <c r="B35" i="18"/>
  <c r="L34" i="18"/>
  <c r="J34" i="18"/>
  <c r="H34" i="18"/>
  <c r="F34" i="18"/>
  <c r="D34" i="18"/>
  <c r="B34" i="18"/>
  <c r="L33" i="18"/>
  <c r="J33" i="18"/>
  <c r="H33" i="18"/>
  <c r="F33" i="18"/>
  <c r="D33" i="18"/>
  <c r="B33" i="18"/>
  <c r="L32" i="18"/>
  <c r="J32" i="18"/>
  <c r="H32" i="18"/>
  <c r="F32" i="18"/>
  <c r="D32" i="18"/>
  <c r="B32" i="18"/>
  <c r="L31" i="18"/>
  <c r="J31" i="18"/>
  <c r="H31" i="18"/>
  <c r="F31" i="18"/>
  <c r="D31" i="18"/>
  <c r="B31" i="18"/>
  <c r="L30" i="18"/>
  <c r="J30" i="18"/>
  <c r="H30" i="18"/>
  <c r="F30" i="18"/>
  <c r="D30" i="18"/>
  <c r="B30" i="18"/>
  <c r="L29" i="18"/>
  <c r="J29" i="18"/>
  <c r="H29" i="18"/>
  <c r="F29" i="18"/>
  <c r="D29" i="18"/>
  <c r="B29" i="18"/>
  <c r="L28" i="18"/>
  <c r="J28" i="18"/>
  <c r="H28" i="18"/>
  <c r="F28" i="18"/>
  <c r="D28" i="18"/>
  <c r="B28" i="18"/>
  <c r="L27" i="18"/>
  <c r="J27" i="18"/>
  <c r="H27" i="18"/>
  <c r="F27" i="18"/>
  <c r="D27" i="18"/>
  <c r="B27" i="18"/>
  <c r="L26" i="18"/>
  <c r="J26" i="18"/>
  <c r="H26" i="18"/>
  <c r="F26" i="18"/>
  <c r="D26" i="18"/>
  <c r="B26" i="18"/>
  <c r="L25" i="18"/>
  <c r="J25" i="18"/>
  <c r="H25" i="18"/>
  <c r="F25" i="18"/>
  <c r="D25" i="18"/>
  <c r="B25" i="18"/>
  <c r="L24" i="18"/>
  <c r="J24" i="18"/>
  <c r="H24" i="18"/>
  <c r="F24" i="18"/>
  <c r="D24" i="18"/>
  <c r="B24" i="18"/>
  <c r="L23" i="18"/>
  <c r="J23" i="18"/>
  <c r="H23" i="18"/>
  <c r="F23" i="18"/>
  <c r="D23" i="18"/>
  <c r="B23" i="18"/>
  <c r="L22" i="18"/>
  <c r="J22" i="18"/>
  <c r="H22" i="18"/>
  <c r="F22" i="18"/>
  <c r="D22" i="18"/>
  <c r="B22" i="18"/>
  <c r="L21" i="18"/>
  <c r="J21" i="18"/>
  <c r="H21" i="18"/>
  <c r="F21" i="18"/>
  <c r="D21" i="18"/>
  <c r="B21" i="18"/>
  <c r="L20" i="18"/>
  <c r="J20" i="18"/>
  <c r="H20" i="18"/>
  <c r="F20" i="18"/>
  <c r="D20" i="18"/>
  <c r="B20" i="18"/>
  <c r="L19" i="18"/>
  <c r="J19" i="18"/>
  <c r="H19" i="18"/>
  <c r="F19" i="18"/>
  <c r="D19" i="18"/>
  <c r="B19" i="18"/>
  <c r="L18" i="18"/>
  <c r="J18" i="18"/>
  <c r="H18" i="18"/>
  <c r="F18" i="18"/>
  <c r="D18" i="18"/>
  <c r="B18" i="18"/>
  <c r="L17" i="18"/>
  <c r="J17" i="18"/>
  <c r="H17" i="18"/>
  <c r="B3" i="35"/>
  <c r="B5" i="35"/>
  <c r="B7" i="35"/>
  <c r="B9" i="35"/>
  <c r="B11" i="35"/>
  <c r="B13" i="35"/>
  <c r="B15" i="35"/>
  <c r="B17" i="35"/>
  <c r="B19" i="35"/>
  <c r="B21" i="35"/>
  <c r="B23" i="35"/>
  <c r="B25" i="35"/>
  <c r="B27" i="35"/>
  <c r="B29" i="35"/>
  <c r="B31" i="35"/>
  <c r="B33" i="35"/>
  <c r="B35" i="35"/>
  <c r="D3" i="35"/>
  <c r="F3" i="35"/>
  <c r="H3" i="35"/>
  <c r="J3" i="35"/>
  <c r="L3" i="35"/>
  <c r="C4" i="35"/>
  <c r="E4" i="35"/>
  <c r="G4" i="35"/>
  <c r="I4" i="35"/>
  <c r="K4" i="35"/>
  <c r="M4" i="35"/>
  <c r="D5" i="35"/>
  <c r="F5" i="35"/>
  <c r="H5" i="35"/>
  <c r="J5" i="35"/>
  <c r="L5" i="35"/>
  <c r="C6" i="35"/>
  <c r="E6" i="35"/>
  <c r="G6" i="35"/>
  <c r="I6" i="35"/>
  <c r="K6" i="35"/>
  <c r="M6" i="35"/>
  <c r="D7" i="35"/>
  <c r="F7" i="35"/>
  <c r="H7" i="35"/>
  <c r="J7" i="35"/>
  <c r="L7" i="35"/>
  <c r="C8" i="35"/>
  <c r="E8" i="35"/>
  <c r="G8" i="35"/>
  <c r="I8" i="35"/>
  <c r="K8" i="35"/>
  <c r="M8" i="35"/>
  <c r="D9" i="35"/>
  <c r="F9" i="35"/>
  <c r="H9" i="35"/>
  <c r="J9" i="35"/>
  <c r="L9" i="35"/>
  <c r="C10" i="35"/>
  <c r="E10" i="35"/>
  <c r="G10" i="35"/>
  <c r="I10" i="35"/>
  <c r="K10" i="35"/>
  <c r="M10" i="35"/>
  <c r="D11" i="35"/>
  <c r="F11" i="35"/>
  <c r="H11" i="35"/>
  <c r="J11" i="35"/>
  <c r="L11" i="35"/>
  <c r="C12" i="35"/>
  <c r="E12" i="35"/>
  <c r="G12" i="35"/>
  <c r="I12" i="35"/>
  <c r="K12" i="35"/>
  <c r="M12" i="35"/>
  <c r="D13" i="35"/>
  <c r="F13" i="35"/>
  <c r="H13" i="35"/>
  <c r="J13" i="35"/>
  <c r="L13" i="35"/>
  <c r="C14" i="35"/>
  <c r="E14" i="35"/>
  <c r="G14" i="35"/>
  <c r="I14" i="35"/>
  <c r="K14" i="35"/>
  <c r="M14" i="35"/>
  <c r="D15" i="35"/>
  <c r="F15" i="35"/>
  <c r="H15" i="35"/>
  <c r="J15" i="35"/>
  <c r="L15" i="35"/>
  <c r="C16" i="35"/>
  <c r="E16" i="35"/>
  <c r="G16" i="35"/>
  <c r="I16" i="35"/>
  <c r="K16" i="35"/>
  <c r="M16" i="35"/>
  <c r="D17" i="35"/>
  <c r="F17" i="35"/>
  <c r="H17" i="35"/>
  <c r="J17" i="35"/>
  <c r="L17" i="35"/>
  <c r="C18" i="35"/>
  <c r="E18" i="35"/>
  <c r="G18" i="35"/>
  <c r="I18" i="35"/>
  <c r="K18" i="35"/>
  <c r="M18" i="35"/>
  <c r="D19" i="35"/>
  <c r="F19" i="35"/>
  <c r="H19" i="35"/>
  <c r="J19" i="35"/>
  <c r="L19" i="35"/>
  <c r="C20" i="35"/>
  <c r="E20" i="35"/>
  <c r="G20" i="35"/>
  <c r="I20" i="35"/>
  <c r="K20" i="35"/>
  <c r="M20" i="35"/>
  <c r="D21" i="35"/>
  <c r="F21" i="35"/>
  <c r="H21" i="35"/>
  <c r="J21" i="35"/>
  <c r="L21" i="35"/>
  <c r="C22" i="35"/>
  <c r="E22" i="35"/>
  <c r="G22" i="35"/>
  <c r="I22" i="35"/>
  <c r="K22" i="35"/>
  <c r="M22" i="35"/>
  <c r="D23" i="35"/>
  <c r="F23" i="35"/>
  <c r="H23" i="35"/>
  <c r="J23" i="35"/>
  <c r="L23" i="35"/>
  <c r="C24" i="35"/>
  <c r="E24" i="35"/>
  <c r="G24" i="35"/>
  <c r="I24" i="35"/>
  <c r="K24" i="35"/>
  <c r="M24" i="35"/>
  <c r="D25" i="35"/>
  <c r="F25" i="35"/>
  <c r="H25" i="35"/>
  <c r="J25" i="35"/>
  <c r="L25" i="35"/>
  <c r="C26" i="35"/>
  <c r="E26" i="35"/>
  <c r="G26" i="35"/>
  <c r="I26" i="35"/>
  <c r="K26" i="35"/>
  <c r="M26" i="35"/>
  <c r="D27" i="35"/>
  <c r="F27" i="35"/>
  <c r="H27" i="35"/>
  <c r="J27" i="35"/>
  <c r="L27" i="35"/>
  <c r="C28" i="35"/>
  <c r="E28" i="35"/>
  <c r="G28" i="35"/>
  <c r="I28" i="35"/>
  <c r="K28" i="35"/>
  <c r="M28" i="35"/>
  <c r="D29" i="35"/>
  <c r="F29" i="35"/>
  <c r="H29" i="35"/>
  <c r="J29" i="35"/>
  <c r="L29" i="35"/>
  <c r="C30" i="35"/>
  <c r="E30" i="35"/>
  <c r="G30" i="35"/>
  <c r="I30" i="35"/>
  <c r="K30" i="35"/>
  <c r="M30" i="35"/>
  <c r="D31" i="35"/>
  <c r="F31" i="35"/>
  <c r="H31" i="35"/>
  <c r="J31" i="35"/>
  <c r="L31" i="35"/>
  <c r="C32" i="35"/>
  <c r="E32" i="35"/>
  <c r="G32" i="35"/>
  <c r="I32" i="35"/>
  <c r="K32" i="35"/>
  <c r="M32" i="35"/>
  <c r="D33" i="35"/>
  <c r="F33" i="35"/>
  <c r="H33" i="35"/>
  <c r="J33" i="35"/>
  <c r="L33" i="35"/>
  <c r="C34" i="35"/>
  <c r="E34" i="35"/>
  <c r="G34" i="35"/>
  <c r="I34" i="35"/>
  <c r="K34" i="35"/>
  <c r="M34" i="35"/>
  <c r="D35" i="35"/>
  <c r="F35" i="35"/>
  <c r="H35" i="35"/>
  <c r="J35" i="35"/>
  <c r="C3" i="18"/>
  <c r="E3" i="18"/>
  <c r="G3" i="18"/>
  <c r="I3" i="18"/>
  <c r="K3" i="18"/>
  <c r="M3" i="18"/>
  <c r="C4" i="18"/>
  <c r="E4" i="18"/>
  <c r="G4" i="18"/>
  <c r="I4" i="18"/>
  <c r="K4" i="18"/>
  <c r="M4" i="18"/>
  <c r="C5" i="18"/>
  <c r="E5" i="18"/>
  <c r="G5" i="18"/>
  <c r="I5" i="18"/>
  <c r="K5" i="18"/>
  <c r="M5" i="18"/>
  <c r="C6" i="18"/>
  <c r="E6" i="18"/>
  <c r="G6" i="18"/>
  <c r="I6" i="18"/>
  <c r="K6" i="18"/>
  <c r="M6" i="18"/>
  <c r="C7" i="18"/>
  <c r="E7" i="18"/>
  <c r="G7" i="18"/>
  <c r="I7" i="18"/>
  <c r="K7" i="18"/>
  <c r="M7" i="18"/>
  <c r="C8" i="18"/>
  <c r="E8" i="18"/>
  <c r="G8" i="18"/>
  <c r="I8" i="18"/>
  <c r="K8" i="18"/>
  <c r="M8" i="18"/>
  <c r="C9" i="18"/>
  <c r="E9" i="18"/>
  <c r="G9" i="18"/>
  <c r="I9" i="18"/>
  <c r="K9" i="18"/>
  <c r="M9" i="18"/>
  <c r="C10" i="18"/>
  <c r="E10" i="18"/>
  <c r="G10" i="18"/>
  <c r="I10" i="18"/>
  <c r="K10" i="18"/>
  <c r="M10" i="18"/>
  <c r="C11" i="18"/>
  <c r="E11" i="18"/>
  <c r="G11" i="18"/>
  <c r="I11" i="18"/>
  <c r="K11" i="18"/>
  <c r="M11" i="18"/>
  <c r="C12" i="18"/>
  <c r="E12" i="18"/>
  <c r="G12" i="18"/>
  <c r="I12" i="18"/>
  <c r="K12" i="18"/>
  <c r="M12" i="18"/>
  <c r="C13" i="18"/>
  <c r="E13" i="18"/>
  <c r="G13" i="18"/>
  <c r="I13" i="18"/>
  <c r="K13" i="18"/>
  <c r="M13" i="18"/>
  <c r="C14" i="18"/>
  <c r="E14" i="18"/>
  <c r="G14" i="18"/>
  <c r="I14" i="18"/>
  <c r="K14" i="18"/>
  <c r="M14" i="18"/>
  <c r="C15" i="18"/>
  <c r="E15" i="18"/>
  <c r="G15" i="18"/>
  <c r="I15" i="18"/>
  <c r="K15" i="18"/>
  <c r="M15" i="18"/>
  <c r="C16" i="18"/>
  <c r="E16" i="18"/>
  <c r="G16" i="18"/>
  <c r="I16" i="18"/>
  <c r="K16" i="18"/>
  <c r="M16" i="18"/>
  <c r="C17" i="18"/>
  <c r="E17" i="18"/>
  <c r="G17" i="18"/>
  <c r="B3" i="11"/>
  <c r="D3" i="11"/>
  <c r="F3" i="11"/>
  <c r="H3" i="11"/>
  <c r="J3" i="11"/>
  <c r="L3" i="11"/>
  <c r="B4" i="11"/>
  <c r="D4" i="11"/>
  <c r="F4" i="11"/>
  <c r="H4" i="11"/>
  <c r="J4" i="11"/>
  <c r="L4" i="11"/>
  <c r="B5" i="11"/>
  <c r="D5" i="11"/>
  <c r="F5" i="11"/>
  <c r="H5" i="11"/>
  <c r="J5" i="11"/>
  <c r="L5" i="11"/>
  <c r="B6" i="11"/>
  <c r="D6" i="11"/>
  <c r="F6" i="11"/>
  <c r="H6" i="11"/>
  <c r="J6" i="11"/>
  <c r="L6" i="11"/>
  <c r="B7" i="11"/>
  <c r="D7" i="11"/>
  <c r="F7" i="11"/>
  <c r="H7" i="11"/>
  <c r="J7" i="11"/>
  <c r="L7" i="11"/>
  <c r="B8" i="11"/>
  <c r="D8" i="11"/>
  <c r="F8" i="11"/>
  <c r="H8" i="11"/>
  <c r="J8" i="11"/>
  <c r="L8" i="11"/>
  <c r="B9" i="11"/>
  <c r="D9" i="11"/>
  <c r="F9" i="11"/>
  <c r="H9" i="11"/>
  <c r="J9" i="11"/>
  <c r="L9" i="11"/>
  <c r="B10" i="11"/>
  <c r="D10" i="11"/>
  <c r="F10" i="11"/>
  <c r="H10" i="11"/>
  <c r="J10" i="11"/>
  <c r="L10" i="11"/>
  <c r="B11" i="11"/>
  <c r="D11" i="11"/>
  <c r="F11" i="11"/>
  <c r="H11" i="11"/>
  <c r="J11" i="11"/>
  <c r="L11" i="11"/>
  <c r="B12" i="11"/>
  <c r="D12" i="11"/>
  <c r="F12" i="11"/>
  <c r="H12" i="11"/>
  <c r="J12" i="11"/>
  <c r="L12" i="11"/>
  <c r="B13" i="11"/>
  <c r="D13" i="11"/>
  <c r="F13" i="11"/>
  <c r="H13" i="11"/>
  <c r="J13" i="11"/>
  <c r="L13" i="11"/>
  <c r="B14" i="11"/>
  <c r="D14" i="11"/>
  <c r="F14" i="11"/>
  <c r="H14" i="11"/>
  <c r="J14" i="11"/>
  <c r="L14" i="11"/>
  <c r="B15" i="11"/>
  <c r="D15" i="11"/>
  <c r="F15" i="11"/>
  <c r="H15" i="11"/>
  <c r="J15" i="11"/>
  <c r="L15" i="11"/>
  <c r="B16" i="11"/>
  <c r="D16" i="11"/>
  <c r="F16" i="11"/>
  <c r="H16" i="11"/>
  <c r="J16" i="11"/>
  <c r="L16" i="11"/>
  <c r="B17" i="11"/>
  <c r="D17" i="11"/>
  <c r="F17" i="11"/>
  <c r="H17" i="11"/>
  <c r="J17" i="11"/>
  <c r="L17" i="11"/>
  <c r="B18" i="11"/>
  <c r="D18" i="11"/>
  <c r="F18" i="11"/>
  <c r="H18" i="11"/>
  <c r="J18" i="11"/>
  <c r="L18" i="11"/>
  <c r="B19" i="11"/>
  <c r="D19" i="11"/>
  <c r="F19" i="11"/>
  <c r="H19" i="11"/>
  <c r="J19" i="11"/>
  <c r="L19" i="11"/>
  <c r="B20" i="11"/>
  <c r="D20" i="11"/>
  <c r="F20" i="11"/>
  <c r="H20" i="11"/>
  <c r="J20" i="11"/>
  <c r="L20" i="11"/>
  <c r="B21" i="11"/>
  <c r="D21" i="11"/>
  <c r="F21" i="11"/>
  <c r="H21" i="11"/>
  <c r="J21" i="11"/>
  <c r="L21" i="11"/>
  <c r="B22" i="11"/>
  <c r="D22" i="11"/>
  <c r="F22" i="11"/>
  <c r="H22" i="11"/>
  <c r="J22" i="11"/>
  <c r="L22" i="11"/>
  <c r="B23" i="11"/>
  <c r="D23" i="11"/>
  <c r="F23" i="11"/>
  <c r="H23" i="11"/>
  <c r="J23" i="11"/>
  <c r="L23" i="11"/>
  <c r="B24" i="11"/>
  <c r="D24" i="11"/>
  <c r="F24" i="11"/>
  <c r="H24" i="11"/>
  <c r="J24" i="11"/>
  <c r="L24" i="11"/>
  <c r="B25" i="11"/>
  <c r="D25" i="11"/>
  <c r="F25" i="11"/>
  <c r="H25" i="11"/>
  <c r="J25" i="11"/>
  <c r="L25" i="11"/>
  <c r="B26" i="11"/>
  <c r="D26" i="11"/>
  <c r="F26" i="11"/>
  <c r="H26" i="11"/>
  <c r="J26" i="11"/>
  <c r="L26" i="11"/>
  <c r="B27" i="11"/>
  <c r="D27" i="11"/>
  <c r="F27" i="11"/>
  <c r="H27" i="11"/>
  <c r="J27" i="11"/>
  <c r="L27" i="11"/>
  <c r="B28" i="11"/>
  <c r="D28" i="11"/>
  <c r="F28" i="11"/>
  <c r="H28" i="11"/>
  <c r="J28" i="11"/>
  <c r="L28" i="11"/>
  <c r="B29" i="11"/>
  <c r="D29" i="11"/>
  <c r="F29" i="11"/>
  <c r="H29" i="11"/>
  <c r="J29" i="11"/>
  <c r="L29" i="11"/>
  <c r="B30" i="11"/>
  <c r="D30" i="11"/>
  <c r="F30" i="11"/>
  <c r="H30" i="11"/>
  <c r="J30" i="11"/>
  <c r="L30" i="11"/>
  <c r="B31" i="11"/>
  <c r="D31" i="11"/>
  <c r="F31" i="11"/>
  <c r="H31" i="11"/>
  <c r="J31" i="11"/>
  <c r="L31" i="11"/>
  <c r="B32" i="11"/>
  <c r="D32" i="11"/>
  <c r="F32" i="11"/>
  <c r="H32" i="11"/>
  <c r="J32" i="11"/>
  <c r="L32" i="11"/>
  <c r="B33" i="11"/>
  <c r="D33" i="11"/>
  <c r="F33" i="11"/>
  <c r="H33" i="11"/>
  <c r="J33" i="11"/>
  <c r="L33" i="11"/>
  <c r="B34" i="11"/>
  <c r="D34" i="11"/>
  <c r="F34" i="11"/>
  <c r="H34" i="11"/>
  <c r="J34" i="11"/>
  <c r="L34" i="11"/>
  <c r="B35" i="11"/>
  <c r="D35" i="11"/>
  <c r="F35" i="11"/>
  <c r="H35" i="11"/>
  <c r="J35" i="11"/>
  <c r="L35" i="11"/>
  <c r="B3" i="12"/>
  <c r="B5" i="12"/>
  <c r="B7" i="12"/>
  <c r="B9" i="12"/>
  <c r="B11" i="12"/>
  <c r="B13" i="12"/>
  <c r="B15" i="12"/>
  <c r="B17" i="12"/>
  <c r="B19" i="12"/>
  <c r="B21" i="12"/>
  <c r="B23" i="12"/>
  <c r="B25" i="12"/>
  <c r="B27" i="12"/>
  <c r="B29" i="12"/>
  <c r="B31" i="12"/>
  <c r="B33" i="12"/>
  <c r="B35" i="12"/>
  <c r="D3" i="12"/>
  <c r="F3" i="12"/>
  <c r="H3" i="12"/>
  <c r="J3" i="12"/>
  <c r="L3" i="12"/>
  <c r="C4" i="12"/>
  <c r="E4" i="12"/>
  <c r="G4" i="12"/>
  <c r="I4" i="12"/>
  <c r="K4" i="12"/>
  <c r="M4" i="12"/>
  <c r="E5" i="12"/>
  <c r="I5" i="12"/>
  <c r="M5" i="12"/>
  <c r="C3" i="11"/>
  <c r="E3" i="11"/>
  <c r="G3" i="11"/>
  <c r="I3" i="11"/>
  <c r="K3" i="11"/>
  <c r="M3" i="11"/>
  <c r="C4" i="11"/>
  <c r="E4" i="11"/>
  <c r="G4" i="11"/>
  <c r="I4" i="11"/>
  <c r="K4" i="11"/>
  <c r="M4" i="11"/>
  <c r="C5" i="11"/>
  <c r="E5" i="11"/>
  <c r="G5" i="11"/>
  <c r="I5" i="11"/>
  <c r="K5" i="11"/>
  <c r="M5" i="11"/>
  <c r="C6" i="11"/>
  <c r="E6" i="11"/>
  <c r="G6" i="11"/>
  <c r="I6" i="11"/>
  <c r="K6" i="11"/>
  <c r="M6" i="11"/>
  <c r="C7" i="11"/>
  <c r="E7" i="11"/>
  <c r="G7" i="11"/>
  <c r="I7" i="11"/>
  <c r="K7" i="11"/>
  <c r="M7" i="11"/>
  <c r="C8" i="11"/>
  <c r="E8" i="11"/>
  <c r="G8" i="11"/>
  <c r="I8" i="11"/>
  <c r="K8" i="11"/>
  <c r="M8" i="11"/>
  <c r="C9" i="11"/>
  <c r="E9" i="11"/>
  <c r="G9" i="11"/>
  <c r="I9" i="11"/>
  <c r="K9" i="11"/>
  <c r="M9" i="11"/>
  <c r="C10" i="11"/>
  <c r="E10" i="11"/>
  <c r="G10" i="11"/>
  <c r="I10" i="11"/>
  <c r="K10" i="11"/>
  <c r="M10" i="11"/>
  <c r="C11" i="11"/>
  <c r="E11" i="11"/>
  <c r="G11" i="11"/>
  <c r="I11" i="11"/>
  <c r="K11" i="11"/>
  <c r="M11" i="11"/>
  <c r="C12" i="11"/>
  <c r="E12" i="11"/>
  <c r="G12" i="11"/>
  <c r="I12" i="11"/>
  <c r="K12" i="11"/>
  <c r="M12" i="11"/>
  <c r="C13" i="11"/>
  <c r="E13" i="11"/>
  <c r="G13" i="11"/>
  <c r="I13" i="11"/>
  <c r="K13" i="11"/>
  <c r="M13" i="11"/>
  <c r="C14" i="11"/>
  <c r="E14" i="11"/>
  <c r="G14" i="11"/>
  <c r="I14" i="11"/>
  <c r="K14" i="11"/>
  <c r="M14" i="11"/>
  <c r="C15" i="11"/>
  <c r="E15" i="11"/>
  <c r="G15" i="11"/>
  <c r="I15" i="11"/>
  <c r="K15" i="11"/>
  <c r="M15" i="11"/>
  <c r="C16" i="11"/>
  <c r="E16" i="11"/>
  <c r="G16" i="11"/>
  <c r="I16" i="11"/>
  <c r="K16" i="11"/>
  <c r="M16" i="11"/>
  <c r="C17" i="11"/>
  <c r="E17" i="11"/>
  <c r="G17" i="11"/>
  <c r="I17" i="11"/>
  <c r="K17" i="11"/>
  <c r="M17" i="11"/>
  <c r="C18" i="11"/>
  <c r="E18" i="11"/>
  <c r="G18" i="11"/>
  <c r="I18" i="11"/>
  <c r="K18" i="11"/>
  <c r="M18" i="11"/>
  <c r="C19" i="11"/>
  <c r="E19" i="11"/>
  <c r="G19" i="11"/>
  <c r="I19" i="11"/>
  <c r="K19" i="11"/>
  <c r="M19" i="11"/>
  <c r="C20" i="11"/>
  <c r="E20" i="11"/>
  <c r="G20" i="11"/>
  <c r="I20" i="11"/>
  <c r="K20" i="11"/>
  <c r="M20" i="11"/>
  <c r="C21" i="11"/>
  <c r="E21" i="11"/>
  <c r="G21" i="11"/>
  <c r="I21" i="11"/>
  <c r="K21" i="11"/>
  <c r="M21" i="11"/>
  <c r="C22" i="11"/>
  <c r="E22" i="11"/>
  <c r="G22" i="11"/>
  <c r="I22" i="11"/>
  <c r="K22" i="11"/>
  <c r="M22" i="11"/>
  <c r="C23" i="11"/>
  <c r="E23" i="11"/>
  <c r="G23" i="11"/>
  <c r="I23" i="11"/>
  <c r="K23" i="11"/>
  <c r="M23" i="11"/>
  <c r="C24" i="11"/>
  <c r="E24" i="11"/>
  <c r="G24" i="11"/>
  <c r="I24" i="11"/>
  <c r="K24" i="11"/>
  <c r="M24" i="11"/>
  <c r="C25" i="11"/>
  <c r="E25" i="11"/>
  <c r="G25" i="11"/>
  <c r="I25" i="11"/>
  <c r="K25" i="11"/>
  <c r="M25" i="11"/>
  <c r="C26" i="11"/>
  <c r="E26" i="11"/>
  <c r="G26" i="11"/>
  <c r="I26" i="11"/>
  <c r="K26" i="11"/>
  <c r="M26" i="11"/>
  <c r="C27" i="11"/>
  <c r="E27" i="11"/>
  <c r="G27" i="11"/>
  <c r="I27" i="11"/>
  <c r="K27" i="11"/>
  <c r="M27" i="11"/>
  <c r="C28" i="11"/>
  <c r="E28" i="11"/>
  <c r="G28" i="11"/>
  <c r="I28" i="11"/>
  <c r="K28" i="11"/>
  <c r="M28" i="11"/>
  <c r="C29" i="11"/>
  <c r="E29" i="11"/>
  <c r="G29" i="11"/>
  <c r="I29" i="11"/>
  <c r="K29" i="11"/>
  <c r="M29" i="11"/>
  <c r="C30" i="11"/>
  <c r="E30" i="11"/>
  <c r="G30" i="11"/>
  <c r="I30" i="11"/>
  <c r="K30" i="11"/>
  <c r="M30" i="11"/>
  <c r="C31" i="11"/>
  <c r="E31" i="11"/>
  <c r="G31" i="11"/>
  <c r="I31" i="11"/>
  <c r="K31" i="11"/>
  <c r="M31" i="11"/>
  <c r="C32" i="11"/>
  <c r="E32" i="11"/>
  <c r="G32" i="11"/>
  <c r="I32" i="11"/>
  <c r="K32" i="11"/>
  <c r="M32" i="11"/>
  <c r="C33" i="11"/>
  <c r="E33" i="11"/>
  <c r="G33" i="11"/>
  <c r="I33" i="11"/>
  <c r="K33" i="11"/>
  <c r="M33" i="11"/>
  <c r="C34" i="11"/>
  <c r="E34" i="11"/>
  <c r="G34" i="11"/>
  <c r="I34" i="11"/>
  <c r="K34" i="11"/>
  <c r="M34" i="11"/>
  <c r="C35" i="11"/>
  <c r="E35" i="11"/>
  <c r="G35" i="11"/>
  <c r="I35" i="11"/>
  <c r="K35" i="11"/>
  <c r="M35" i="12"/>
  <c r="K35" i="12"/>
  <c r="I35" i="12"/>
  <c r="G35" i="12"/>
  <c r="E35" i="12"/>
  <c r="C35" i="12"/>
  <c r="L34" i="12"/>
  <c r="J34" i="12"/>
  <c r="H34" i="12"/>
  <c r="F34" i="12"/>
  <c r="D34" i="12"/>
  <c r="M33" i="12"/>
  <c r="K33" i="12"/>
  <c r="I33" i="12"/>
  <c r="G33" i="12"/>
  <c r="E33" i="12"/>
  <c r="C33" i="12"/>
  <c r="L32" i="12"/>
  <c r="J32" i="12"/>
  <c r="H32" i="12"/>
  <c r="F32" i="12"/>
  <c r="D32" i="12"/>
  <c r="M31" i="12"/>
  <c r="K31" i="12"/>
  <c r="I31" i="12"/>
  <c r="G31" i="12"/>
  <c r="E31" i="12"/>
  <c r="C31" i="12"/>
  <c r="L30" i="12"/>
  <c r="J30" i="12"/>
  <c r="H30" i="12"/>
  <c r="F30" i="12"/>
  <c r="D30" i="12"/>
  <c r="M29" i="12"/>
  <c r="K29" i="12"/>
  <c r="I29" i="12"/>
  <c r="G29" i="12"/>
  <c r="E29" i="12"/>
  <c r="C29" i="12"/>
  <c r="L28" i="12"/>
  <c r="J28" i="12"/>
  <c r="H28" i="12"/>
  <c r="F28" i="12"/>
  <c r="D28" i="12"/>
  <c r="M27" i="12"/>
  <c r="K27" i="12"/>
  <c r="I27" i="12"/>
  <c r="G27" i="12"/>
  <c r="E27" i="12"/>
  <c r="C27" i="12"/>
  <c r="L26" i="12"/>
  <c r="J26" i="12"/>
  <c r="H26" i="12"/>
  <c r="F26" i="12"/>
  <c r="D26" i="12"/>
  <c r="M25" i="12"/>
  <c r="K25" i="12"/>
  <c r="I25" i="12"/>
  <c r="G25" i="12"/>
  <c r="E25" i="12"/>
  <c r="C25" i="12"/>
  <c r="L24" i="12"/>
  <c r="J24" i="12"/>
  <c r="H24" i="12"/>
  <c r="F24" i="12"/>
  <c r="D24" i="12"/>
  <c r="M23" i="12"/>
  <c r="K23" i="12"/>
  <c r="I23" i="12"/>
  <c r="G23" i="12"/>
  <c r="E23" i="12"/>
  <c r="C23" i="12"/>
  <c r="L22" i="12"/>
  <c r="J22" i="12"/>
  <c r="H22" i="12"/>
  <c r="F22" i="12"/>
  <c r="D22" i="12"/>
  <c r="M21" i="12"/>
  <c r="K21" i="12"/>
  <c r="I21" i="12"/>
  <c r="G21" i="12"/>
  <c r="E21" i="12"/>
  <c r="C21" i="12"/>
  <c r="L20" i="12"/>
  <c r="J20" i="12"/>
  <c r="H20" i="12"/>
  <c r="F20" i="12"/>
  <c r="D20" i="12"/>
  <c r="M19" i="12"/>
  <c r="K19" i="12"/>
  <c r="I19" i="12"/>
  <c r="G19" i="12"/>
  <c r="E19" i="12"/>
  <c r="C19" i="12"/>
  <c r="L18" i="12"/>
  <c r="J18" i="12"/>
  <c r="H18" i="12"/>
  <c r="F18" i="12"/>
  <c r="D18" i="12"/>
  <c r="M17" i="12"/>
  <c r="K17" i="12"/>
  <c r="I17" i="12"/>
  <c r="G17" i="12"/>
  <c r="E17" i="12"/>
  <c r="C17" i="12"/>
  <c r="L16" i="12"/>
  <c r="J16" i="12"/>
  <c r="H16" i="12"/>
  <c r="F16" i="12"/>
  <c r="D16" i="12"/>
  <c r="M15" i="12"/>
  <c r="K15" i="12"/>
  <c r="I15" i="12"/>
  <c r="G15" i="12"/>
  <c r="E15" i="12"/>
  <c r="C15" i="12"/>
  <c r="L14" i="12"/>
  <c r="J14" i="12"/>
  <c r="H14" i="12"/>
  <c r="F14" i="12"/>
  <c r="D14" i="12"/>
  <c r="M13" i="12"/>
  <c r="K13" i="12"/>
  <c r="I13" i="12"/>
  <c r="G13" i="12"/>
  <c r="E13" i="12"/>
  <c r="C13" i="12"/>
  <c r="L12" i="12"/>
  <c r="J12" i="12"/>
  <c r="H12" i="12"/>
  <c r="F12" i="12"/>
  <c r="D12" i="12"/>
  <c r="M11" i="12"/>
  <c r="K11" i="12"/>
  <c r="I11" i="12"/>
  <c r="G11" i="12"/>
  <c r="E11" i="12"/>
  <c r="C11" i="12"/>
  <c r="L10" i="12"/>
  <c r="J10" i="12"/>
  <c r="H10" i="12"/>
  <c r="F10" i="12"/>
  <c r="D10" i="12"/>
  <c r="M9" i="12"/>
  <c r="K9" i="12"/>
  <c r="I9" i="12"/>
  <c r="G9" i="12"/>
  <c r="E9" i="12"/>
  <c r="C9" i="12"/>
  <c r="L8" i="12"/>
  <c r="J8" i="12"/>
  <c r="H8" i="12"/>
  <c r="F8" i="12"/>
  <c r="D8" i="12"/>
  <c r="M7" i="12"/>
  <c r="K7" i="12"/>
  <c r="I7" i="12"/>
  <c r="G7" i="12"/>
  <c r="E7" i="12"/>
  <c r="C7" i="12"/>
  <c r="L6" i="12"/>
  <c r="J6" i="12"/>
  <c r="L35" i="12"/>
  <c r="J35" i="12"/>
  <c r="H35" i="12"/>
  <c r="F35" i="12"/>
  <c r="D35" i="12"/>
  <c r="M34" i="12"/>
  <c r="K34" i="12"/>
  <c r="I34" i="12"/>
  <c r="G34" i="12"/>
  <c r="E34" i="12"/>
  <c r="C34" i="12"/>
  <c r="L33" i="12"/>
  <c r="J33" i="12"/>
  <c r="H33" i="12"/>
  <c r="F33" i="12"/>
  <c r="D33" i="12"/>
  <c r="M32" i="12"/>
  <c r="K32" i="12"/>
  <c r="I32" i="12"/>
  <c r="G32" i="12"/>
  <c r="E32" i="12"/>
  <c r="C32" i="12"/>
  <c r="L31" i="12"/>
  <c r="J31" i="12"/>
  <c r="H31" i="12"/>
  <c r="F31" i="12"/>
  <c r="D31" i="12"/>
  <c r="M30" i="12"/>
  <c r="K30" i="12"/>
  <c r="I30" i="12"/>
  <c r="G30" i="12"/>
  <c r="E30" i="12"/>
  <c r="C30" i="12"/>
  <c r="L29" i="12"/>
  <c r="J29" i="12"/>
  <c r="H29" i="12"/>
  <c r="F29" i="12"/>
  <c r="D29" i="12"/>
  <c r="M28" i="12"/>
  <c r="K28" i="12"/>
  <c r="I28" i="12"/>
  <c r="G28" i="12"/>
  <c r="E28" i="12"/>
  <c r="C28" i="12"/>
  <c r="L27" i="12"/>
  <c r="J27" i="12"/>
  <c r="H27" i="12"/>
  <c r="F27" i="12"/>
  <c r="D27" i="12"/>
  <c r="M26" i="12"/>
  <c r="K26" i="12"/>
  <c r="I26" i="12"/>
  <c r="G26" i="12"/>
  <c r="E26" i="12"/>
  <c r="C26" i="12"/>
  <c r="L25" i="12"/>
  <c r="J25" i="12"/>
  <c r="H25" i="12"/>
  <c r="F25" i="12"/>
  <c r="D25" i="12"/>
  <c r="M24" i="12"/>
  <c r="K24" i="12"/>
  <c r="I24" i="12"/>
  <c r="G24" i="12"/>
  <c r="E24" i="12"/>
  <c r="C24" i="12"/>
  <c r="L23" i="12"/>
  <c r="J23" i="12"/>
  <c r="H23" i="12"/>
  <c r="F23" i="12"/>
  <c r="D23" i="12"/>
  <c r="M22" i="12"/>
  <c r="K22" i="12"/>
  <c r="I22" i="12"/>
  <c r="G22" i="12"/>
  <c r="E22" i="12"/>
  <c r="C22" i="12"/>
  <c r="L21" i="12"/>
  <c r="J21" i="12"/>
  <c r="H21" i="12"/>
  <c r="F21" i="12"/>
  <c r="D21" i="12"/>
  <c r="M20" i="12"/>
  <c r="K20" i="12"/>
  <c r="I20" i="12"/>
  <c r="G20" i="12"/>
  <c r="E20" i="12"/>
  <c r="C20" i="12"/>
  <c r="L19" i="12"/>
  <c r="J19" i="12"/>
  <c r="H19" i="12"/>
  <c r="F19" i="12"/>
  <c r="D19" i="12"/>
  <c r="M18" i="12"/>
  <c r="K18" i="12"/>
  <c r="I18" i="12"/>
  <c r="G18" i="12"/>
  <c r="E18" i="12"/>
  <c r="C18" i="12"/>
  <c r="L17" i="12"/>
  <c r="J17" i="12"/>
  <c r="H17" i="12"/>
  <c r="F17" i="12"/>
  <c r="D17" i="12"/>
  <c r="M16" i="12"/>
  <c r="K16" i="12"/>
  <c r="I16" i="12"/>
  <c r="G16" i="12"/>
  <c r="E16" i="12"/>
  <c r="C16" i="12"/>
  <c r="L15" i="12"/>
  <c r="J15" i="12"/>
  <c r="H15" i="12"/>
  <c r="F15" i="12"/>
  <c r="D15" i="12"/>
  <c r="M14" i="12"/>
  <c r="K14" i="12"/>
  <c r="I14" i="12"/>
  <c r="G14" i="12"/>
  <c r="E14" i="12"/>
  <c r="C14" i="12"/>
  <c r="L13" i="12"/>
  <c r="J13" i="12"/>
  <c r="H13" i="12"/>
  <c r="F13" i="12"/>
  <c r="D13" i="12"/>
  <c r="M12" i="12"/>
  <c r="K12" i="12"/>
  <c r="I12" i="12"/>
  <c r="G12" i="12"/>
  <c r="E12" i="12"/>
  <c r="C12" i="12"/>
  <c r="L11" i="12"/>
  <c r="J11" i="12"/>
  <c r="H11" i="12"/>
  <c r="F11" i="12"/>
  <c r="D11" i="12"/>
  <c r="M10" i="12"/>
  <c r="K10" i="12"/>
  <c r="I10" i="12"/>
  <c r="G10" i="12"/>
  <c r="E10" i="12"/>
  <c r="C10" i="12"/>
  <c r="L9" i="12"/>
  <c r="J9" i="12"/>
  <c r="H9" i="12"/>
  <c r="F9" i="12"/>
  <c r="D9" i="12"/>
  <c r="M8" i="12"/>
  <c r="K8" i="12"/>
  <c r="I8" i="12"/>
  <c r="G8" i="12"/>
  <c r="E8" i="12"/>
  <c r="C8" i="12"/>
  <c r="L7" i="12"/>
  <c r="J7" i="12"/>
  <c r="H7" i="12"/>
  <c r="F7" i="12"/>
  <c r="D7" i="12"/>
  <c r="M6" i="12"/>
  <c r="K6" i="12"/>
  <c r="I6" i="12"/>
  <c r="G6" i="12"/>
  <c r="E6" i="12"/>
  <c r="C6" i="12"/>
  <c r="L5" i="12"/>
  <c r="J5" i="12"/>
  <c r="H5" i="12"/>
  <c r="F5" i="12"/>
  <c r="D5" i="12"/>
  <c r="B4" i="12"/>
  <c r="B6" i="12"/>
  <c r="B8" i="12"/>
  <c r="B10" i="12"/>
  <c r="B12" i="12"/>
  <c r="B14" i="12"/>
  <c r="B16" i="12"/>
  <c r="B18" i="12"/>
  <c r="B20" i="12"/>
  <c r="B22" i="12"/>
  <c r="B24" i="12"/>
  <c r="B26" i="12"/>
  <c r="B28" i="12"/>
  <c r="B30" i="12"/>
  <c r="B32" i="12"/>
  <c r="B34" i="12"/>
  <c r="C3" i="12"/>
  <c r="E3" i="12"/>
  <c r="G3" i="12"/>
  <c r="I3" i="12"/>
  <c r="K3" i="12"/>
  <c r="M3" i="12"/>
  <c r="D4" i="12"/>
  <c r="F4" i="12"/>
  <c r="H4" i="12"/>
  <c r="J4" i="12"/>
  <c r="L4" i="12"/>
  <c r="C5" i="12"/>
  <c r="G5" i="12"/>
  <c r="K5" i="12"/>
  <c r="D6" i="12"/>
  <c r="H6" i="12"/>
  <c r="L35" i="13"/>
  <c r="J35" i="13"/>
  <c r="H35" i="13"/>
  <c r="F35" i="13"/>
  <c r="D35" i="13"/>
  <c r="M34" i="13"/>
  <c r="K34" i="13"/>
  <c r="I34" i="13"/>
  <c r="G34" i="13"/>
  <c r="E34" i="13"/>
  <c r="C34" i="13"/>
  <c r="L33" i="13"/>
  <c r="J33" i="13"/>
  <c r="H33" i="13"/>
  <c r="F33" i="13"/>
  <c r="D33" i="13"/>
  <c r="M32" i="13"/>
  <c r="K32" i="13"/>
  <c r="I32" i="13"/>
  <c r="G32" i="13"/>
  <c r="E32" i="13"/>
  <c r="C32" i="13"/>
  <c r="L31" i="13"/>
  <c r="J31" i="13"/>
  <c r="H31" i="13"/>
  <c r="F31" i="13"/>
  <c r="D31" i="13"/>
  <c r="M30" i="13"/>
  <c r="K30" i="13"/>
  <c r="I30" i="13"/>
  <c r="G30" i="13"/>
  <c r="E30" i="13"/>
  <c r="C30" i="13"/>
  <c r="L29" i="13"/>
  <c r="J29" i="13"/>
  <c r="H29" i="13"/>
  <c r="F29" i="13"/>
  <c r="D29" i="13"/>
  <c r="M28" i="13"/>
  <c r="K28" i="13"/>
  <c r="I28" i="13"/>
  <c r="G28" i="13"/>
  <c r="E28" i="13"/>
  <c r="C28" i="13"/>
  <c r="L27" i="13"/>
  <c r="J27" i="13"/>
  <c r="H27" i="13"/>
  <c r="F27" i="13"/>
  <c r="D27" i="13"/>
  <c r="M26" i="13"/>
  <c r="K26" i="13"/>
  <c r="I26" i="13"/>
  <c r="G26" i="13"/>
  <c r="E26" i="13"/>
  <c r="C26" i="13"/>
  <c r="L25" i="13"/>
  <c r="J25" i="13"/>
  <c r="H25" i="13"/>
  <c r="F25" i="13"/>
  <c r="D25" i="13"/>
  <c r="M24" i="13"/>
  <c r="K24" i="13"/>
  <c r="I24" i="13"/>
  <c r="G24" i="13"/>
  <c r="E24" i="13"/>
  <c r="C24" i="13"/>
  <c r="L23" i="13"/>
  <c r="J23" i="13"/>
  <c r="H23" i="13"/>
  <c r="F23" i="13"/>
  <c r="D23" i="13"/>
  <c r="M22" i="13"/>
  <c r="K22" i="13"/>
  <c r="I22" i="13"/>
  <c r="G22" i="13"/>
  <c r="E22" i="13"/>
  <c r="C22" i="13"/>
  <c r="L21" i="13"/>
  <c r="J21" i="13"/>
  <c r="H21" i="13"/>
  <c r="F21" i="13"/>
  <c r="D21" i="13"/>
  <c r="M20" i="13"/>
  <c r="K20" i="13"/>
  <c r="M35" i="13"/>
  <c r="K35" i="13"/>
  <c r="I35" i="13"/>
  <c r="G35" i="13"/>
  <c r="E35" i="13"/>
  <c r="C35" i="13"/>
  <c r="L34" i="13"/>
  <c r="J34" i="13"/>
  <c r="H34" i="13"/>
  <c r="F34" i="13"/>
  <c r="D34" i="13"/>
  <c r="M33" i="13"/>
  <c r="K33" i="13"/>
  <c r="I33" i="13"/>
  <c r="G33" i="13"/>
  <c r="E33" i="13"/>
  <c r="C33" i="13"/>
  <c r="L32" i="13"/>
  <c r="J32" i="13"/>
  <c r="H32" i="13"/>
  <c r="F32" i="13"/>
  <c r="D32" i="13"/>
  <c r="M31" i="13"/>
  <c r="K31" i="13"/>
  <c r="I31" i="13"/>
  <c r="G31" i="13"/>
  <c r="E31" i="13"/>
  <c r="C31" i="13"/>
  <c r="L30" i="13"/>
  <c r="J30" i="13"/>
  <c r="H30" i="13"/>
  <c r="F30" i="13"/>
  <c r="D30" i="13"/>
  <c r="M29" i="13"/>
  <c r="K29" i="13"/>
  <c r="I29" i="13"/>
  <c r="G29" i="13"/>
  <c r="E29" i="13"/>
  <c r="C29" i="13"/>
  <c r="L28" i="13"/>
  <c r="J28" i="13"/>
  <c r="H28" i="13"/>
  <c r="F28" i="13"/>
  <c r="D28" i="13"/>
  <c r="M27" i="13"/>
  <c r="K27" i="13"/>
  <c r="I27" i="13"/>
  <c r="G27" i="13"/>
  <c r="E27" i="13"/>
  <c r="C27" i="13"/>
  <c r="L26" i="13"/>
  <c r="J26" i="13"/>
  <c r="H26" i="13"/>
  <c r="F26" i="13"/>
  <c r="D26" i="13"/>
  <c r="M25" i="13"/>
  <c r="K25" i="13"/>
  <c r="I25" i="13"/>
  <c r="G25" i="13"/>
  <c r="E25" i="13"/>
  <c r="C25" i="13"/>
  <c r="L24" i="13"/>
  <c r="J24" i="13"/>
  <c r="H24" i="13"/>
  <c r="F24" i="13"/>
  <c r="D24" i="13"/>
  <c r="M23" i="13"/>
  <c r="K23" i="13"/>
  <c r="I23" i="13"/>
  <c r="G23" i="13"/>
  <c r="E23" i="13"/>
  <c r="C23" i="13"/>
  <c r="L22" i="13"/>
  <c r="J22" i="13"/>
  <c r="H22" i="13"/>
  <c r="F22" i="13"/>
  <c r="D22" i="13"/>
  <c r="M21" i="13"/>
  <c r="K21" i="13"/>
  <c r="I21" i="13"/>
  <c r="G21" i="13"/>
  <c r="E21" i="13"/>
  <c r="C21" i="13"/>
  <c r="L20" i="13"/>
  <c r="J20" i="13"/>
  <c r="H20" i="13"/>
  <c r="F20" i="13"/>
  <c r="D20" i="13"/>
  <c r="M19" i="13"/>
  <c r="K19" i="13"/>
  <c r="I19" i="13"/>
  <c r="G19" i="13"/>
  <c r="E19" i="13"/>
  <c r="C19" i="13"/>
  <c r="L18" i="13"/>
  <c r="J18" i="13"/>
  <c r="H18" i="13"/>
  <c r="F18" i="13"/>
  <c r="D18" i="13"/>
  <c r="M17" i="13"/>
  <c r="K17" i="13"/>
  <c r="I17" i="13"/>
  <c r="G17" i="13"/>
  <c r="E17" i="13"/>
  <c r="C17" i="13"/>
  <c r="L16" i="13"/>
  <c r="J16" i="13"/>
  <c r="H16" i="13"/>
  <c r="F16" i="13"/>
  <c r="D16" i="13"/>
  <c r="M15" i="13"/>
  <c r="K15" i="13"/>
  <c r="I15" i="13"/>
  <c r="G15" i="13"/>
  <c r="E15" i="13"/>
  <c r="C15" i="13"/>
  <c r="L14" i="13"/>
  <c r="J14" i="13"/>
  <c r="H14" i="13"/>
  <c r="F14" i="13"/>
  <c r="D14" i="13"/>
  <c r="M13" i="13"/>
  <c r="K13" i="13"/>
  <c r="I13" i="13"/>
  <c r="G13" i="13"/>
  <c r="E13" i="13"/>
  <c r="C13" i="13"/>
  <c r="L12" i="13"/>
  <c r="J12" i="13"/>
  <c r="H12" i="13"/>
  <c r="F12" i="13"/>
  <c r="D12" i="13"/>
  <c r="M11" i="13"/>
  <c r="K11" i="13"/>
  <c r="I11" i="13"/>
  <c r="G11" i="13"/>
  <c r="E11" i="13"/>
  <c r="C11" i="13"/>
  <c r="L10" i="13"/>
  <c r="J10" i="13"/>
  <c r="H10" i="13"/>
  <c r="F10" i="13"/>
  <c r="D10" i="13"/>
  <c r="M9" i="13"/>
  <c r="K9" i="13"/>
  <c r="I9" i="13"/>
  <c r="G9" i="13"/>
  <c r="E9" i="13"/>
  <c r="C9" i="13"/>
  <c r="L8" i="13"/>
  <c r="J8" i="13"/>
  <c r="H8" i="13"/>
  <c r="F8" i="13"/>
  <c r="D8" i="13"/>
  <c r="M7" i="13"/>
  <c r="K7" i="13"/>
  <c r="I7" i="13"/>
  <c r="G7" i="13"/>
  <c r="E7" i="13"/>
  <c r="C7" i="13"/>
  <c r="L6" i="13"/>
  <c r="J6" i="13"/>
  <c r="H6" i="13"/>
  <c r="F6" i="13"/>
  <c r="D6" i="13"/>
  <c r="M5" i="13"/>
  <c r="K5" i="13"/>
  <c r="I5" i="13"/>
  <c r="G5" i="13"/>
  <c r="I20" i="13"/>
  <c r="G20" i="13"/>
  <c r="E20" i="13"/>
  <c r="C20" i="13"/>
  <c r="L19" i="13"/>
  <c r="J19" i="13"/>
  <c r="H19" i="13"/>
  <c r="F19" i="13"/>
  <c r="D19" i="13"/>
  <c r="M18" i="13"/>
  <c r="K18" i="13"/>
  <c r="I18" i="13"/>
  <c r="G18" i="13"/>
  <c r="E18" i="13"/>
  <c r="C18" i="13"/>
  <c r="L17" i="13"/>
  <c r="J17" i="13"/>
  <c r="H17" i="13"/>
  <c r="F17" i="13"/>
  <c r="D17" i="13"/>
  <c r="M16" i="13"/>
  <c r="K16" i="13"/>
  <c r="I16" i="13"/>
  <c r="G16" i="13"/>
  <c r="E16" i="13"/>
  <c r="C16" i="13"/>
  <c r="L15" i="13"/>
  <c r="J15" i="13"/>
  <c r="H15" i="13"/>
  <c r="F15" i="13"/>
  <c r="D15" i="13"/>
  <c r="M14" i="13"/>
  <c r="K14" i="13"/>
  <c r="I14" i="13"/>
  <c r="G14" i="13"/>
  <c r="E14" i="13"/>
  <c r="C14" i="13"/>
  <c r="L13" i="13"/>
  <c r="J13" i="13"/>
  <c r="H13" i="13"/>
  <c r="F13" i="13"/>
  <c r="D13" i="13"/>
  <c r="M12" i="13"/>
  <c r="K12" i="13"/>
  <c r="I12" i="13"/>
  <c r="G12" i="13"/>
  <c r="E12" i="13"/>
  <c r="C12" i="13"/>
  <c r="L11" i="13"/>
  <c r="J11" i="13"/>
  <c r="H11" i="13"/>
  <c r="F11" i="13"/>
  <c r="D11" i="13"/>
  <c r="M10" i="13"/>
  <c r="K10" i="13"/>
  <c r="I10" i="13"/>
  <c r="G10" i="13"/>
  <c r="E10" i="13"/>
  <c r="C10" i="13"/>
  <c r="L9" i="13"/>
  <c r="J9" i="13"/>
  <c r="H9" i="13"/>
  <c r="F9" i="13"/>
  <c r="D9" i="13"/>
  <c r="M8" i="13"/>
  <c r="K8" i="13"/>
  <c r="I8" i="13"/>
  <c r="G8" i="13"/>
  <c r="E8" i="13"/>
  <c r="C8" i="13"/>
  <c r="L7" i="13"/>
  <c r="J7" i="13"/>
  <c r="H7" i="13"/>
  <c r="F7" i="13"/>
  <c r="D7" i="13"/>
  <c r="M6" i="13"/>
  <c r="K6" i="13"/>
  <c r="I6" i="13"/>
  <c r="G6" i="13"/>
  <c r="E6" i="13"/>
  <c r="C6" i="13"/>
  <c r="L5" i="13"/>
  <c r="J5" i="13"/>
  <c r="H5" i="13"/>
  <c r="F5" i="13"/>
  <c r="E5" i="13"/>
  <c r="C5" i="13"/>
  <c r="L4" i="13"/>
  <c r="J4" i="13"/>
  <c r="H4" i="13"/>
  <c r="F4" i="13"/>
  <c r="D4" i="13"/>
  <c r="M3" i="13"/>
  <c r="K3" i="13"/>
  <c r="I3" i="13"/>
  <c r="G3" i="13"/>
  <c r="E3" i="13"/>
  <c r="C3" i="13"/>
  <c r="B34" i="13"/>
  <c r="B32" i="13"/>
  <c r="B30" i="13"/>
  <c r="B28" i="13"/>
  <c r="B26" i="13"/>
  <c r="B24" i="13"/>
  <c r="B22" i="13"/>
  <c r="B20" i="13"/>
  <c r="B18" i="13"/>
  <c r="B16" i="13"/>
  <c r="B14" i="13"/>
  <c r="B12" i="13"/>
  <c r="B10" i="13"/>
  <c r="B8" i="13"/>
  <c r="B6" i="13"/>
  <c r="B4" i="13"/>
  <c r="D5" i="13"/>
  <c r="M4" i="13"/>
  <c r="K4" i="13"/>
  <c r="I4" i="13"/>
  <c r="G4" i="13"/>
  <c r="E4" i="13"/>
  <c r="C4" i="13"/>
  <c r="L3" i="13"/>
  <c r="J3" i="13"/>
  <c r="H3" i="13"/>
  <c r="F3" i="13"/>
  <c r="D3" i="13"/>
  <c r="B35" i="13"/>
  <c r="B33" i="13"/>
  <c r="B31" i="13"/>
  <c r="B29" i="13"/>
  <c r="B27" i="13"/>
  <c r="B25" i="13"/>
  <c r="B23" i="13"/>
  <c r="B21" i="13"/>
  <c r="B19" i="13"/>
  <c r="B17" i="13"/>
  <c r="B15" i="13"/>
  <c r="B13" i="13"/>
  <c r="B11" i="13"/>
  <c r="B9" i="13"/>
  <c r="B7" i="13"/>
  <c r="B5" i="13"/>
  <c r="B3" i="13"/>
  <c r="AA76" i="40"/>
  <c r="X76" i="40"/>
  <c r="W76" i="40"/>
  <c r="V76" i="40"/>
  <c r="U76" i="40"/>
  <c r="T76" i="40"/>
  <c r="S76" i="40"/>
  <c r="R76" i="40"/>
  <c r="Q76" i="40"/>
  <c r="P76" i="40"/>
  <c r="AA75" i="40"/>
  <c r="X75" i="40"/>
  <c r="W75" i="40"/>
  <c r="V75" i="40"/>
  <c r="U75" i="40"/>
  <c r="T75" i="40"/>
  <c r="S75" i="40"/>
  <c r="R75" i="40"/>
  <c r="Q75" i="40"/>
  <c r="P75" i="40"/>
  <c r="AA74" i="40"/>
  <c r="X74" i="40"/>
  <c r="W74" i="40"/>
  <c r="V74" i="40"/>
  <c r="U74" i="40"/>
  <c r="T74" i="40"/>
  <c r="S74" i="40"/>
  <c r="R74" i="40"/>
  <c r="Q74" i="40"/>
  <c r="P74" i="40"/>
  <c r="AA73" i="40"/>
  <c r="X73" i="40"/>
  <c r="W73" i="40"/>
  <c r="V73" i="40"/>
  <c r="U73" i="40"/>
  <c r="T73" i="40"/>
  <c r="S73" i="40"/>
  <c r="R73" i="40"/>
  <c r="Q73" i="40"/>
  <c r="P73" i="40"/>
  <c r="AA72" i="40"/>
  <c r="X72" i="40"/>
  <c r="W72" i="40"/>
  <c r="V72" i="40"/>
  <c r="U72" i="40"/>
  <c r="T72" i="40"/>
  <c r="S72" i="40"/>
  <c r="R72" i="40"/>
  <c r="Q72" i="40"/>
  <c r="P72" i="40"/>
  <c r="AA71" i="40"/>
  <c r="X71" i="40"/>
  <c r="W71" i="40"/>
  <c r="V71" i="40"/>
  <c r="U71" i="40"/>
  <c r="T71" i="40"/>
  <c r="S71" i="40"/>
  <c r="R71" i="40"/>
  <c r="Q71" i="40"/>
  <c r="P71" i="40"/>
  <c r="AA70" i="40"/>
  <c r="X70" i="40"/>
  <c r="W70" i="40"/>
  <c r="V70" i="40"/>
  <c r="U70" i="40"/>
  <c r="T70" i="40"/>
  <c r="S70" i="40"/>
  <c r="R70" i="40"/>
  <c r="Q70" i="40"/>
  <c r="P70" i="40"/>
  <c r="AA69" i="40"/>
  <c r="X69" i="40"/>
  <c r="W69" i="40"/>
  <c r="V69" i="40"/>
  <c r="U69" i="40"/>
  <c r="T69" i="40"/>
  <c r="S69" i="40"/>
  <c r="R69" i="40"/>
  <c r="Q69" i="40"/>
  <c r="P69" i="40"/>
  <c r="AA68" i="40"/>
  <c r="X68" i="40"/>
  <c r="W68" i="40"/>
  <c r="V68" i="40"/>
  <c r="U68" i="40"/>
  <c r="T68" i="40"/>
  <c r="S68" i="40"/>
  <c r="R68" i="40"/>
  <c r="Q68" i="40"/>
  <c r="P68" i="40"/>
  <c r="AA67" i="40"/>
  <c r="X67" i="40"/>
  <c r="W67" i="40"/>
  <c r="V67" i="40"/>
  <c r="U67" i="40"/>
  <c r="T67" i="40"/>
  <c r="S67" i="40"/>
  <c r="R67" i="40"/>
  <c r="Q67" i="40"/>
  <c r="P67" i="40"/>
  <c r="AA66" i="40"/>
  <c r="X66" i="40"/>
  <c r="W66" i="40"/>
  <c r="V66" i="40"/>
  <c r="U66" i="40"/>
  <c r="T66" i="40"/>
  <c r="S66" i="40"/>
  <c r="R66" i="40"/>
  <c r="Q66" i="40"/>
  <c r="P66" i="40"/>
  <c r="AA65" i="40"/>
  <c r="X65" i="40"/>
  <c r="W65" i="40"/>
  <c r="V65" i="40"/>
  <c r="U65" i="40"/>
  <c r="T65" i="40"/>
  <c r="S65" i="40"/>
  <c r="R65" i="40"/>
  <c r="Q65" i="40"/>
  <c r="P65" i="40"/>
  <c r="AA64" i="40"/>
  <c r="X64" i="40"/>
  <c r="W64" i="40"/>
  <c r="V64" i="40"/>
  <c r="U64" i="40"/>
  <c r="T64" i="40"/>
  <c r="S64" i="40"/>
  <c r="R64" i="40"/>
  <c r="Q64" i="40"/>
  <c r="P64" i="40"/>
  <c r="AA63" i="40"/>
  <c r="X63" i="40"/>
  <c r="W63" i="40"/>
  <c r="V63" i="40"/>
  <c r="U63" i="40"/>
  <c r="T63" i="40"/>
  <c r="S63" i="40"/>
  <c r="R63" i="40"/>
  <c r="Q63" i="40"/>
  <c r="P63" i="40"/>
  <c r="AA62" i="40"/>
  <c r="X62" i="40"/>
  <c r="W62" i="40"/>
  <c r="V62" i="40"/>
  <c r="U62" i="40"/>
  <c r="T62" i="40"/>
  <c r="S62" i="40"/>
  <c r="R62" i="40"/>
  <c r="Q62" i="40"/>
  <c r="P62" i="40"/>
  <c r="AA61" i="40"/>
  <c r="X61" i="40"/>
  <c r="W61" i="40"/>
  <c r="V61" i="40"/>
  <c r="U61" i="40"/>
  <c r="T61" i="40"/>
  <c r="S61" i="40"/>
  <c r="R61" i="40"/>
  <c r="Q61" i="40"/>
  <c r="P61" i="40"/>
  <c r="AA60" i="40"/>
  <c r="X60" i="40"/>
  <c r="W60" i="40"/>
  <c r="V60" i="40"/>
  <c r="U60" i="40"/>
  <c r="T60" i="40"/>
  <c r="S60" i="40"/>
  <c r="R60" i="40"/>
  <c r="Q60" i="40"/>
  <c r="P60" i="40"/>
  <c r="AA59" i="40"/>
  <c r="X59" i="40"/>
  <c r="W59" i="40"/>
  <c r="V59" i="40"/>
  <c r="U59" i="40"/>
  <c r="T59" i="40"/>
  <c r="S59" i="40"/>
  <c r="R59" i="40"/>
  <c r="Q59" i="40"/>
  <c r="P59" i="40"/>
  <c r="AA58" i="40"/>
  <c r="X58" i="40"/>
  <c r="W58" i="40"/>
  <c r="V58" i="40"/>
  <c r="U58" i="40"/>
  <c r="T58" i="40"/>
  <c r="S58" i="40"/>
  <c r="R58" i="40"/>
  <c r="Q58" i="40"/>
  <c r="P58" i="40"/>
  <c r="AA57" i="40"/>
  <c r="X57" i="40"/>
  <c r="W57" i="40"/>
  <c r="V57" i="40"/>
  <c r="U57" i="40"/>
  <c r="T57" i="40"/>
  <c r="S57" i="40"/>
  <c r="R57" i="40"/>
  <c r="Q57" i="40"/>
  <c r="P57" i="40"/>
  <c r="AA56" i="40"/>
  <c r="X56" i="40"/>
  <c r="W56" i="40"/>
  <c r="V56" i="40"/>
  <c r="U56" i="40"/>
  <c r="T56" i="40"/>
  <c r="S56" i="40"/>
  <c r="R56" i="40"/>
  <c r="Q56" i="40"/>
  <c r="P56" i="40"/>
  <c r="AA55" i="40"/>
  <c r="X55" i="40"/>
  <c r="W55" i="40"/>
  <c r="V55" i="40"/>
  <c r="U55" i="40"/>
  <c r="T55" i="40"/>
  <c r="S55" i="40"/>
  <c r="R55" i="40"/>
  <c r="Q55" i="40"/>
  <c r="P55" i="40"/>
  <c r="AA54" i="40"/>
  <c r="X54" i="40"/>
  <c r="W54" i="40"/>
  <c r="V54" i="40"/>
  <c r="U54" i="40"/>
  <c r="T54" i="40"/>
  <c r="S54" i="40"/>
  <c r="R54" i="40"/>
  <c r="Q54" i="40"/>
  <c r="P54" i="40"/>
  <c r="AA53" i="40"/>
  <c r="X53" i="40"/>
  <c r="W53" i="40"/>
  <c r="V53" i="40"/>
  <c r="U53" i="40"/>
  <c r="T53" i="40"/>
  <c r="S53" i="40"/>
  <c r="R53" i="40"/>
  <c r="Q53" i="40"/>
  <c r="P53" i="40"/>
  <c r="AA52" i="40"/>
  <c r="X52" i="40"/>
  <c r="W52" i="40"/>
  <c r="V52" i="40"/>
  <c r="U52" i="40"/>
  <c r="T52" i="40"/>
  <c r="S52" i="40"/>
  <c r="R52" i="40"/>
  <c r="Q52" i="40"/>
  <c r="P52" i="40"/>
  <c r="AA51" i="40"/>
  <c r="X51" i="40"/>
  <c r="W51" i="40"/>
  <c r="V51" i="40"/>
  <c r="U51" i="40"/>
  <c r="T51" i="40"/>
  <c r="S51" i="40"/>
  <c r="R51" i="40"/>
  <c r="Q51" i="40"/>
  <c r="P51" i="40"/>
  <c r="AA50" i="40"/>
  <c r="X50" i="40"/>
  <c r="W50" i="40"/>
  <c r="V50" i="40"/>
  <c r="U50" i="40"/>
  <c r="T50" i="40"/>
  <c r="S50" i="40"/>
  <c r="R50" i="40"/>
  <c r="Q50" i="40"/>
  <c r="P50" i="40"/>
  <c r="AA49" i="40"/>
  <c r="X49" i="40"/>
  <c r="W49" i="40"/>
  <c r="V49" i="40"/>
  <c r="U49" i="40"/>
  <c r="T49" i="40"/>
  <c r="S49" i="40"/>
  <c r="R49" i="40"/>
  <c r="Q49" i="40"/>
  <c r="P49" i="40"/>
  <c r="AA48" i="40"/>
  <c r="X48" i="40"/>
  <c r="W48" i="40"/>
  <c r="V48" i="40"/>
  <c r="U48" i="40"/>
  <c r="T48" i="40"/>
  <c r="S48" i="40"/>
  <c r="R48" i="40"/>
  <c r="Q48" i="40"/>
  <c r="P48" i="40"/>
  <c r="AA47" i="40"/>
  <c r="X47" i="40"/>
  <c r="W47" i="40"/>
  <c r="V47" i="40"/>
  <c r="U47" i="40"/>
  <c r="T47" i="40"/>
  <c r="S47" i="40"/>
  <c r="R47" i="40"/>
  <c r="Q47" i="40"/>
  <c r="P47" i="40"/>
  <c r="AA46" i="40"/>
  <c r="X46" i="40"/>
  <c r="W46" i="40"/>
  <c r="V46" i="40"/>
  <c r="U46" i="40"/>
  <c r="T46" i="40"/>
  <c r="S46" i="40"/>
  <c r="R46" i="40"/>
  <c r="Q46" i="40"/>
  <c r="P46" i="40"/>
  <c r="AA45" i="40"/>
  <c r="X45" i="40"/>
  <c r="W45" i="40"/>
  <c r="V45" i="40"/>
  <c r="U45" i="40"/>
  <c r="T45" i="40"/>
  <c r="S45" i="40"/>
  <c r="R45" i="40"/>
  <c r="Q45" i="40"/>
  <c r="P45" i="40"/>
  <c r="J22" i="3" l="1"/>
  <c r="U35" i="42"/>
  <c r="Q22" i="3"/>
  <c r="AA35" i="42"/>
  <c r="C10" i="3"/>
  <c r="Q3" i="42"/>
  <c r="S35" i="42"/>
  <c r="W177" i="1" s="1"/>
  <c r="F22" i="3"/>
  <c r="V96" i="1" s="1"/>
  <c r="K22" i="3"/>
  <c r="V99" i="1" s="1"/>
  <c r="V35" i="42"/>
  <c r="L22" i="3"/>
  <c r="W35" i="42"/>
  <c r="W888" i="1" s="1"/>
  <c r="B22" i="3"/>
  <c r="P35" i="42"/>
  <c r="B10" i="3"/>
  <c r="P3" i="42"/>
  <c r="M10" i="3"/>
  <c r="J82" i="1" s="1"/>
  <c r="X3" i="42"/>
  <c r="T3" i="42"/>
  <c r="H10" i="3"/>
  <c r="C22" i="3"/>
  <c r="Q35" i="42"/>
  <c r="Q10" i="3"/>
  <c r="AA3" i="42"/>
  <c r="K10" i="3"/>
  <c r="J80" i="1" s="1"/>
  <c r="V3" i="42"/>
  <c r="L10" i="3"/>
  <c r="J81" i="1" s="1"/>
  <c r="W3" i="42"/>
  <c r="I87" i="1"/>
  <c r="J87" i="1"/>
  <c r="E22" i="3"/>
  <c r="R35" i="42"/>
  <c r="X35" i="42"/>
  <c r="W961" i="1" s="1"/>
  <c r="M22" i="3"/>
  <c r="F10" i="3"/>
  <c r="J77" i="1" s="1"/>
  <c r="S3" i="42"/>
  <c r="J10" i="3"/>
  <c r="U3" i="42"/>
  <c r="E10" i="3"/>
  <c r="J86" i="1" s="1"/>
  <c r="R3" i="42"/>
  <c r="T35" i="42"/>
  <c r="H22" i="3"/>
  <c r="M77" i="40"/>
  <c r="J77" i="40"/>
  <c r="I77" i="40"/>
  <c r="H77" i="40"/>
  <c r="G77" i="40"/>
  <c r="F77" i="40"/>
  <c r="E77" i="40"/>
  <c r="D77" i="40"/>
  <c r="C77" i="40"/>
  <c r="B77" i="40"/>
  <c r="J83" i="1" l="1"/>
  <c r="V98" i="1"/>
  <c r="V97" i="1"/>
  <c r="W889" i="1"/>
  <c r="W887" i="1"/>
  <c r="W890" i="1"/>
  <c r="W493" i="1"/>
  <c r="W492" i="1"/>
  <c r="W494" i="1"/>
  <c r="W495" i="1"/>
  <c r="J33" i="1"/>
  <c r="K34" i="1" s="1"/>
  <c r="J76" i="1"/>
  <c r="R10" i="3"/>
  <c r="I10" i="3"/>
  <c r="G10" i="3"/>
  <c r="D10" i="3"/>
  <c r="N10" i="3"/>
  <c r="J79" i="1"/>
  <c r="J78" i="1"/>
  <c r="W178" i="1"/>
  <c r="W179" i="1"/>
  <c r="W176" i="1"/>
  <c r="W810" i="1"/>
  <c r="W813" i="1"/>
  <c r="W812" i="1"/>
  <c r="W962" i="1"/>
  <c r="W960" i="1"/>
  <c r="W963" i="1"/>
  <c r="W811" i="1"/>
  <c r="V101" i="1"/>
  <c r="V95" i="1"/>
  <c r="I22" i="3"/>
  <c r="J36" i="1"/>
  <c r="K37" i="1" s="1"/>
  <c r="R22" i="3"/>
  <c r="N22" i="3"/>
  <c r="G22" i="3"/>
  <c r="D22" i="3"/>
  <c r="J84" i="1"/>
  <c r="J85" i="1"/>
  <c r="V100" i="1"/>
  <c r="M35" i="40"/>
  <c r="AA77" i="40"/>
  <c r="P77" i="40"/>
  <c r="B35" i="40"/>
  <c r="D35" i="40"/>
  <c r="R77" i="40"/>
  <c r="T77" i="40"/>
  <c r="F35" i="40"/>
  <c r="H35" i="40"/>
  <c r="V77" i="40"/>
  <c r="J35" i="40"/>
  <c r="X77" i="40"/>
  <c r="C35" i="40"/>
  <c r="Q77" i="40"/>
  <c r="E35" i="40"/>
  <c r="S77" i="40"/>
  <c r="G35" i="40"/>
  <c r="U77" i="40"/>
  <c r="I35" i="40"/>
  <c r="W77" i="40"/>
  <c r="B262" i="25"/>
  <c r="A669" i="1" s="1"/>
  <c r="A262" i="25"/>
  <c r="A327" i="1" l="1"/>
  <c r="R303" i="25"/>
  <c r="Q303" i="25"/>
  <c r="P303" i="25"/>
  <c r="O303" i="25"/>
  <c r="N303" i="25"/>
  <c r="L303" i="25"/>
  <c r="R302" i="25"/>
  <c r="Q302" i="25"/>
  <c r="P302" i="25"/>
  <c r="O302" i="25"/>
  <c r="N302" i="25"/>
  <c r="L302" i="25"/>
  <c r="R301" i="25"/>
  <c r="Q301" i="25"/>
  <c r="P301" i="25"/>
  <c r="O301" i="25"/>
  <c r="N301" i="25"/>
  <c r="L301" i="25"/>
  <c r="R300" i="25"/>
  <c r="Q300" i="25"/>
  <c r="P300" i="25"/>
  <c r="O300" i="25"/>
  <c r="N300" i="25"/>
  <c r="L300" i="25"/>
  <c r="R299" i="25"/>
  <c r="Q299" i="25"/>
  <c r="P299" i="25"/>
  <c r="O299" i="25"/>
  <c r="N299" i="25"/>
  <c r="L299" i="25"/>
  <c r="R298" i="25"/>
  <c r="Q298" i="25"/>
  <c r="P298" i="25"/>
  <c r="O298" i="25"/>
  <c r="N298" i="25"/>
  <c r="L298" i="25"/>
  <c r="R297" i="25"/>
  <c r="Q297" i="25"/>
  <c r="P297" i="25"/>
  <c r="O297" i="25"/>
  <c r="N297" i="25"/>
  <c r="L297" i="25"/>
  <c r="R296" i="25"/>
  <c r="Q296" i="25"/>
  <c r="P296" i="25"/>
  <c r="O296" i="25"/>
  <c r="N296" i="25"/>
  <c r="L296" i="25"/>
  <c r="R295" i="25"/>
  <c r="Q295" i="25"/>
  <c r="P295" i="25"/>
  <c r="O295" i="25"/>
  <c r="N295" i="25"/>
  <c r="L295" i="25"/>
  <c r="R294" i="25"/>
  <c r="Q294" i="25"/>
  <c r="P294" i="25"/>
  <c r="O294" i="25"/>
  <c r="N294" i="25"/>
  <c r="L294" i="25"/>
  <c r="R293" i="25"/>
  <c r="Q293" i="25"/>
  <c r="P293" i="25"/>
  <c r="O293" i="25"/>
  <c r="N293" i="25"/>
  <c r="L293" i="25"/>
  <c r="R292" i="25"/>
  <c r="Q292" i="25"/>
  <c r="P292" i="25"/>
  <c r="O292" i="25"/>
  <c r="N292" i="25"/>
  <c r="L292" i="25"/>
  <c r="R291" i="25"/>
  <c r="Q291" i="25"/>
  <c r="P291" i="25"/>
  <c r="O291" i="25"/>
  <c r="N291" i="25"/>
  <c r="L291" i="25"/>
  <c r="R290" i="25"/>
  <c r="Q290" i="25"/>
  <c r="P290" i="25"/>
  <c r="O290" i="25"/>
  <c r="N290" i="25"/>
  <c r="L290" i="25"/>
  <c r="R289" i="25"/>
  <c r="Q289" i="25"/>
  <c r="P289" i="25"/>
  <c r="O289" i="25"/>
  <c r="N289" i="25"/>
  <c r="L289" i="25"/>
  <c r="R288" i="25"/>
  <c r="Q288" i="25"/>
  <c r="P288" i="25"/>
  <c r="O288" i="25"/>
  <c r="N288" i="25"/>
  <c r="L288" i="25"/>
  <c r="R287" i="25"/>
  <c r="Q287" i="25"/>
  <c r="P287" i="25"/>
  <c r="O287" i="25"/>
  <c r="N287" i="25"/>
  <c r="L287" i="25"/>
  <c r="R286" i="25"/>
  <c r="Q286" i="25"/>
  <c r="P286" i="25"/>
  <c r="O286" i="25"/>
  <c r="N286" i="25"/>
  <c r="L286" i="25"/>
  <c r="R285" i="25"/>
  <c r="Q285" i="25"/>
  <c r="P285" i="25"/>
  <c r="O285" i="25"/>
  <c r="N285" i="25"/>
  <c r="L285" i="25"/>
  <c r="R284" i="25"/>
  <c r="Q284" i="25"/>
  <c r="P284" i="25"/>
  <c r="O284" i="25"/>
  <c r="N284" i="25"/>
  <c r="L284" i="25"/>
  <c r="R283" i="25"/>
  <c r="Q283" i="25"/>
  <c r="P283" i="25"/>
  <c r="O283" i="25"/>
  <c r="N283" i="25"/>
  <c r="L283" i="25"/>
  <c r="R282" i="25"/>
  <c r="Q282" i="25"/>
  <c r="P282" i="25"/>
  <c r="O282" i="25"/>
  <c r="N282" i="25"/>
  <c r="L282" i="25"/>
  <c r="R281" i="25"/>
  <c r="Q281" i="25"/>
  <c r="P281" i="25"/>
  <c r="O281" i="25"/>
  <c r="N281" i="25"/>
  <c r="L281" i="25"/>
  <c r="R280" i="25"/>
  <c r="Q280" i="25"/>
  <c r="P280" i="25"/>
  <c r="O280" i="25"/>
  <c r="N280" i="25"/>
  <c r="L280" i="25"/>
  <c r="R279" i="25"/>
  <c r="Q279" i="25"/>
  <c r="P279" i="25"/>
  <c r="O279" i="25"/>
  <c r="N279" i="25"/>
  <c r="L279" i="25"/>
  <c r="R278" i="25"/>
  <c r="Q278" i="25"/>
  <c r="P278" i="25"/>
  <c r="O278" i="25"/>
  <c r="N278" i="25"/>
  <c r="L278" i="25"/>
  <c r="R277" i="25"/>
  <c r="Q277" i="25"/>
  <c r="P277" i="25"/>
  <c r="O277" i="25"/>
  <c r="N277" i="25"/>
  <c r="L277" i="25"/>
  <c r="R276" i="25"/>
  <c r="Q276" i="25"/>
  <c r="P276" i="25"/>
  <c r="O276" i="25"/>
  <c r="N276" i="25"/>
  <c r="L276" i="25"/>
  <c r="R275" i="25"/>
  <c r="Q275" i="25"/>
  <c r="P275" i="25"/>
  <c r="O275" i="25"/>
  <c r="N275" i="25"/>
  <c r="L275" i="25"/>
  <c r="R274" i="25"/>
  <c r="Q274" i="25"/>
  <c r="P274" i="25"/>
  <c r="O274" i="25"/>
  <c r="N274" i="25"/>
  <c r="L274" i="25"/>
  <c r="R273" i="25"/>
  <c r="Q273" i="25"/>
  <c r="P273" i="25"/>
  <c r="O273" i="25"/>
  <c r="N273" i="25"/>
  <c r="L273" i="25"/>
  <c r="R272" i="25"/>
  <c r="Q272" i="25"/>
  <c r="P272" i="25"/>
  <c r="O272" i="25"/>
  <c r="N272" i="25"/>
  <c r="L272" i="25"/>
  <c r="L271" i="25"/>
  <c r="O676" i="1" s="1"/>
  <c r="A691" i="1" s="1"/>
  <c r="N271" i="25"/>
  <c r="Q676" i="1" s="1"/>
  <c r="O271" i="25"/>
  <c r="R676" i="1" s="1"/>
  <c r="P271" i="25"/>
  <c r="S676" i="1" s="1"/>
  <c r="Q271" i="25"/>
  <c r="T676" i="1" s="1"/>
  <c r="R271" i="25"/>
  <c r="U676" i="1" s="1"/>
  <c r="P135" i="25"/>
  <c r="O135" i="25"/>
  <c r="N135" i="25"/>
  <c r="K135" i="25"/>
  <c r="P134" i="25"/>
  <c r="O134" i="25"/>
  <c r="N134" i="25"/>
  <c r="K134" i="25"/>
  <c r="P133" i="25"/>
  <c r="O133" i="25"/>
  <c r="N133" i="25"/>
  <c r="K133" i="25"/>
  <c r="P132" i="25"/>
  <c r="O132" i="25"/>
  <c r="N132" i="25"/>
  <c r="K132" i="25"/>
  <c r="P131" i="25"/>
  <c r="O131" i="25"/>
  <c r="N131" i="25"/>
  <c r="K131" i="25"/>
  <c r="P130" i="25"/>
  <c r="O130" i="25"/>
  <c r="N130" i="25"/>
  <c r="K130" i="25"/>
  <c r="P129" i="25"/>
  <c r="O129" i="25"/>
  <c r="N129" i="25"/>
  <c r="K129" i="25"/>
  <c r="P128" i="25"/>
  <c r="O128" i="25"/>
  <c r="N128" i="25"/>
  <c r="K128" i="25"/>
  <c r="P127" i="25"/>
  <c r="O127" i="25"/>
  <c r="N127" i="25"/>
  <c r="K127" i="25"/>
  <c r="P126" i="25"/>
  <c r="O126" i="25"/>
  <c r="N126" i="25"/>
  <c r="K126" i="25"/>
  <c r="P125" i="25"/>
  <c r="O125" i="25"/>
  <c r="N125" i="25"/>
  <c r="K125" i="25"/>
  <c r="P124" i="25"/>
  <c r="O124" i="25"/>
  <c r="N124" i="25"/>
  <c r="K124" i="25"/>
  <c r="P123" i="25"/>
  <c r="O123" i="25"/>
  <c r="N123" i="25"/>
  <c r="K123" i="25"/>
  <c r="P122" i="25"/>
  <c r="O122" i="25"/>
  <c r="N122" i="25"/>
  <c r="K122" i="25"/>
  <c r="P121" i="25"/>
  <c r="O121" i="25"/>
  <c r="N121" i="25"/>
  <c r="K121" i="25"/>
  <c r="P120" i="25"/>
  <c r="O120" i="25"/>
  <c r="N120" i="25"/>
  <c r="K120" i="25"/>
  <c r="P119" i="25"/>
  <c r="O119" i="25"/>
  <c r="N119" i="25"/>
  <c r="K119" i="25"/>
  <c r="P118" i="25"/>
  <c r="O118" i="25"/>
  <c r="N118" i="25"/>
  <c r="K118" i="25"/>
  <c r="P117" i="25"/>
  <c r="O117" i="25"/>
  <c r="N117" i="25"/>
  <c r="K117" i="25"/>
  <c r="P116" i="25"/>
  <c r="O116" i="25"/>
  <c r="N116" i="25"/>
  <c r="K116" i="25"/>
  <c r="P115" i="25"/>
  <c r="O115" i="25"/>
  <c r="N115" i="25"/>
  <c r="K115" i="25"/>
  <c r="P114" i="25"/>
  <c r="O114" i="25"/>
  <c r="N114" i="25"/>
  <c r="K114" i="25"/>
  <c r="P113" i="25"/>
  <c r="O113" i="25"/>
  <c r="N113" i="25"/>
  <c r="K113" i="25"/>
  <c r="P112" i="25"/>
  <c r="O112" i="25"/>
  <c r="N112" i="25"/>
  <c r="K112" i="25"/>
  <c r="P111" i="25"/>
  <c r="O111" i="25"/>
  <c r="N111" i="25"/>
  <c r="K111" i="25"/>
  <c r="P110" i="25"/>
  <c r="O110" i="25"/>
  <c r="N110" i="25"/>
  <c r="K110" i="25"/>
  <c r="P109" i="25"/>
  <c r="O109" i="25"/>
  <c r="N109" i="25"/>
  <c r="K109" i="25"/>
  <c r="P108" i="25"/>
  <c r="O108" i="25"/>
  <c r="N108" i="25"/>
  <c r="K108" i="25"/>
  <c r="P107" i="25"/>
  <c r="O107" i="25"/>
  <c r="N107" i="25"/>
  <c r="K107" i="25"/>
  <c r="P106" i="25"/>
  <c r="O106" i="25"/>
  <c r="N106" i="25"/>
  <c r="K106" i="25"/>
  <c r="P105" i="25"/>
  <c r="O105" i="25"/>
  <c r="N105" i="25"/>
  <c r="K105" i="25"/>
  <c r="P104" i="25"/>
  <c r="O104" i="25"/>
  <c r="N104" i="25"/>
  <c r="K104" i="25"/>
  <c r="K103" i="25"/>
  <c r="O585" i="1" s="1"/>
  <c r="A600" i="1" s="1"/>
  <c r="N103" i="25"/>
  <c r="O103" i="25"/>
  <c r="S585" i="1" s="1"/>
  <c r="P103" i="25"/>
  <c r="T585" i="1" s="1"/>
  <c r="R585" i="1" l="1"/>
  <c r="P585" i="1"/>
  <c r="Q585" i="1"/>
  <c r="A430" i="25" l="1"/>
  <c r="C430" i="25"/>
  <c r="B430" i="25"/>
  <c r="F401" i="25" l="1"/>
  <c r="G401" i="25"/>
  <c r="F407" i="25"/>
  <c r="G407" i="25"/>
  <c r="F424" i="25"/>
  <c r="G424" i="25"/>
  <c r="F422" i="25"/>
  <c r="G422" i="25"/>
  <c r="F426" i="25"/>
  <c r="G426" i="25"/>
  <c r="F402" i="25"/>
  <c r="G402" i="25"/>
  <c r="F403" i="25"/>
  <c r="G403" i="25"/>
  <c r="F423" i="25"/>
  <c r="G423" i="25"/>
  <c r="F414" i="25"/>
  <c r="G414" i="25"/>
  <c r="F396" i="25"/>
  <c r="G396" i="25"/>
  <c r="F411" i="25"/>
  <c r="G411" i="25"/>
  <c r="G421" i="25"/>
  <c r="F400" i="25"/>
  <c r="G400" i="25"/>
  <c r="F394" i="25"/>
  <c r="G394" i="25"/>
  <c r="F417" i="25"/>
  <c r="G417" i="25"/>
  <c r="F395" i="25"/>
  <c r="G395" i="25"/>
  <c r="F408" i="25"/>
  <c r="G408" i="25"/>
  <c r="F405" i="25"/>
  <c r="G405" i="25"/>
  <c r="F419" i="25"/>
  <c r="G419" i="25"/>
  <c r="F415" i="25"/>
  <c r="G415" i="25"/>
  <c r="F425" i="25"/>
  <c r="G425" i="25"/>
  <c r="F413" i="25"/>
  <c r="G413" i="25"/>
  <c r="F399" i="25"/>
  <c r="G399" i="25"/>
  <c r="F404" i="25"/>
  <c r="G404" i="25"/>
  <c r="F398" i="25"/>
  <c r="G398" i="25"/>
  <c r="G420" i="25"/>
  <c r="F406" i="25"/>
  <c r="G406" i="25"/>
  <c r="F410" i="25"/>
  <c r="G410" i="25"/>
  <c r="F418" i="25"/>
  <c r="G418" i="25"/>
  <c r="F412" i="25"/>
  <c r="G412" i="25"/>
  <c r="F416" i="25"/>
  <c r="G416" i="25"/>
  <c r="G409" i="25"/>
  <c r="G397" i="25"/>
  <c r="F397" i="25"/>
  <c r="W387" i="25"/>
  <c r="T387" i="25"/>
  <c r="S387" i="25"/>
  <c r="R387" i="25"/>
  <c r="Q387" i="25"/>
  <c r="P387" i="25"/>
  <c r="W353" i="25" l="1"/>
  <c r="W354" i="25"/>
  <c r="W355" i="25"/>
  <c r="W356" i="25"/>
  <c r="W357" i="25"/>
  <c r="W358" i="25"/>
  <c r="W359" i="25"/>
  <c r="W360" i="25"/>
  <c r="W361" i="25"/>
  <c r="W362" i="25"/>
  <c r="W363" i="25"/>
  <c r="W364" i="25"/>
  <c r="W365" i="25"/>
  <c r="W366" i="25"/>
  <c r="W367" i="25"/>
  <c r="W368" i="25"/>
  <c r="W369" i="25"/>
  <c r="W370" i="25"/>
  <c r="W371" i="25"/>
  <c r="W372" i="25"/>
  <c r="W373" i="25"/>
  <c r="W374" i="25"/>
  <c r="W375" i="25"/>
  <c r="W376" i="25"/>
  <c r="W377" i="25"/>
  <c r="W378" i="25"/>
  <c r="W379" i="25"/>
  <c r="W380" i="25"/>
  <c r="W381" i="25"/>
  <c r="W382" i="25"/>
  <c r="W383" i="25"/>
  <c r="W384" i="25"/>
  <c r="W352" i="25"/>
  <c r="V353" i="25"/>
  <c r="V354" i="25"/>
  <c r="V355" i="25"/>
  <c r="V356" i="25"/>
  <c r="V357" i="25"/>
  <c r="V358" i="25"/>
  <c r="V359" i="25"/>
  <c r="V360" i="25"/>
  <c r="V361" i="25"/>
  <c r="V362" i="25"/>
  <c r="V363" i="25"/>
  <c r="V364" i="25"/>
  <c r="V365" i="25"/>
  <c r="V366" i="25"/>
  <c r="V367" i="25"/>
  <c r="V368" i="25"/>
  <c r="V369" i="25"/>
  <c r="V370" i="25"/>
  <c r="V371" i="25"/>
  <c r="V372" i="25"/>
  <c r="V373" i="25"/>
  <c r="V374" i="25"/>
  <c r="V375" i="25"/>
  <c r="V376" i="25"/>
  <c r="V377" i="25"/>
  <c r="V378" i="25"/>
  <c r="V379" i="25"/>
  <c r="V380" i="25"/>
  <c r="V381" i="25"/>
  <c r="V382" i="25"/>
  <c r="V383" i="25"/>
  <c r="V384" i="25"/>
  <c r="V352" i="25"/>
  <c r="C431" i="25" l="1"/>
  <c r="B431" i="25"/>
  <c r="D429" i="25"/>
  <c r="C429" i="25"/>
  <c r="B429" i="25"/>
  <c r="D401" i="25"/>
  <c r="E401" i="25" s="1"/>
  <c r="D397" i="25"/>
  <c r="E397" i="25" s="1"/>
  <c r="D410" i="25"/>
  <c r="E410" i="25" s="1"/>
  <c r="D422" i="25"/>
  <c r="E422" i="25" s="1"/>
  <c r="D425" i="25"/>
  <c r="E425" i="25" s="1"/>
  <c r="D411" i="25"/>
  <c r="E411" i="25" s="1"/>
  <c r="D399" i="25"/>
  <c r="E399" i="25" s="1"/>
  <c r="D423" i="25"/>
  <c r="E423" i="25" s="1"/>
  <c r="D416" i="25"/>
  <c r="E416" i="25" s="1"/>
  <c r="D409" i="25"/>
  <c r="E409" i="25" s="1"/>
  <c r="D418" i="25"/>
  <c r="E418" i="25" s="1"/>
  <c r="D395" i="25"/>
  <c r="E395" i="25" s="1"/>
  <c r="D398" i="25"/>
  <c r="E398" i="25" s="1"/>
  <c r="D412" i="25"/>
  <c r="E412" i="25" s="1"/>
  <c r="D400" i="25"/>
  <c r="E400" i="25" s="1"/>
  <c r="D417" i="25"/>
  <c r="E417" i="25" s="1"/>
  <c r="D426" i="25"/>
  <c r="E426" i="25" s="1"/>
  <c r="D406" i="25"/>
  <c r="E406" i="25" s="1"/>
  <c r="D413" i="25"/>
  <c r="D420" i="25"/>
  <c r="E420" i="25" s="1"/>
  <c r="D424" i="25"/>
  <c r="E424" i="25" s="1"/>
  <c r="D414" i="25"/>
  <c r="E414" i="25" s="1"/>
  <c r="D403" i="25"/>
  <c r="E403" i="25" s="1"/>
  <c r="D408" i="25"/>
  <c r="E408" i="25" s="1"/>
  <c r="D402" i="25"/>
  <c r="E402" i="25" s="1"/>
  <c r="D394" i="25"/>
  <c r="E394" i="25" s="1"/>
  <c r="D405" i="25"/>
  <c r="E405" i="25" s="1"/>
  <c r="D404" i="25"/>
  <c r="E404" i="25" s="1"/>
  <c r="D421" i="25"/>
  <c r="E421" i="25" s="1"/>
  <c r="D419" i="25"/>
  <c r="E419" i="25" s="1"/>
  <c r="D407" i="25"/>
  <c r="E407" i="25" s="1"/>
  <c r="D415" i="25"/>
  <c r="E415" i="25" s="1"/>
  <c r="D396" i="25"/>
  <c r="S775" i="1"/>
  <c r="A774" i="1" s="1"/>
  <c r="R775" i="1"/>
  <c r="Q775" i="1"/>
  <c r="P775" i="1"/>
  <c r="O775" i="1"/>
  <c r="W386" i="25"/>
  <c r="T386" i="25"/>
  <c r="S386" i="25"/>
  <c r="R386" i="25"/>
  <c r="Q386" i="25"/>
  <c r="C75" i="25"/>
  <c r="D431" i="25" l="1"/>
  <c r="F431" i="25" s="1"/>
  <c r="E396" i="25"/>
  <c r="D430" i="25"/>
  <c r="F430" i="25" s="1"/>
  <c r="O776" i="1"/>
  <c r="A775" i="1" s="1"/>
  <c r="Q776" i="1"/>
  <c r="A777" i="1" s="1"/>
  <c r="P776" i="1"/>
  <c r="A776" i="1" s="1"/>
  <c r="R776" i="1"/>
  <c r="S776" i="1"/>
  <c r="E413" i="25"/>
  <c r="E432" i="25" s="1"/>
  <c r="H261" i="26"/>
  <c r="O261" i="26" s="1"/>
  <c r="H260" i="26"/>
  <c r="O260" i="26" s="1"/>
  <c r="H259" i="26"/>
  <c r="O259" i="26" s="1"/>
  <c r="H258" i="26"/>
  <c r="O258" i="26" s="1"/>
  <c r="H257" i="26"/>
  <c r="O257" i="26" s="1"/>
  <c r="H256" i="26"/>
  <c r="O256" i="26" s="1"/>
  <c r="H255" i="26"/>
  <c r="O255" i="26" s="1"/>
  <c r="H254" i="26"/>
  <c r="O254" i="26" s="1"/>
  <c r="H253" i="26"/>
  <c r="O253" i="26" s="1"/>
  <c r="H252" i="26"/>
  <c r="O252" i="26" s="1"/>
  <c r="H251" i="26"/>
  <c r="O251" i="26" s="1"/>
  <c r="H250" i="26"/>
  <c r="O250" i="26" s="1"/>
  <c r="H249" i="26"/>
  <c r="O249" i="26" s="1"/>
  <c r="H248" i="26"/>
  <c r="O248" i="26" s="1"/>
  <c r="H247" i="26"/>
  <c r="O247" i="26" s="1"/>
  <c r="H246" i="26"/>
  <c r="O246" i="26" s="1"/>
  <c r="H245" i="26"/>
  <c r="O245" i="26" s="1"/>
  <c r="H244" i="26"/>
  <c r="O244" i="26" s="1"/>
  <c r="H243" i="26"/>
  <c r="O243" i="26" s="1"/>
  <c r="H242" i="26"/>
  <c r="O242" i="26" s="1"/>
  <c r="H241" i="26"/>
  <c r="O241" i="26" s="1"/>
  <c r="H240" i="26"/>
  <c r="O240" i="26" s="1"/>
  <c r="H239" i="26"/>
  <c r="O239" i="26" s="1"/>
  <c r="H238" i="26"/>
  <c r="O238" i="26" s="1"/>
  <c r="H237" i="26"/>
  <c r="O237" i="26" s="1"/>
  <c r="H236" i="26"/>
  <c r="O236" i="26" s="1"/>
  <c r="H235" i="26"/>
  <c r="O235" i="26" s="1"/>
  <c r="H234" i="26"/>
  <c r="O234" i="26" s="1"/>
  <c r="H233" i="26"/>
  <c r="O233" i="26" s="1"/>
  <c r="H232" i="26"/>
  <c r="O232" i="26" s="1"/>
  <c r="H231" i="26"/>
  <c r="O231" i="26" s="1"/>
  <c r="H230" i="26"/>
  <c r="O230" i="26" s="1"/>
  <c r="H229" i="26"/>
  <c r="O229" i="26" s="1"/>
  <c r="B433" i="25" l="1"/>
  <c r="E433" i="25"/>
  <c r="B432" i="25"/>
  <c r="G431" i="25"/>
  <c r="G430" i="25"/>
  <c r="Q20" i="3"/>
  <c r="P20" i="3"/>
  <c r="M20" i="3"/>
  <c r="L20" i="3"/>
  <c r="K20" i="3"/>
  <c r="T99" i="1" s="1"/>
  <c r="J20" i="3"/>
  <c r="T100" i="1" s="1"/>
  <c r="H20" i="3"/>
  <c r="F20" i="3"/>
  <c r="T96" i="1" s="1"/>
  <c r="E20" i="3"/>
  <c r="C20" i="3"/>
  <c r="T101" i="1" s="1"/>
  <c r="B20" i="3"/>
  <c r="Q8" i="3"/>
  <c r="P8" i="3"/>
  <c r="O8" i="3"/>
  <c r="M8" i="3"/>
  <c r="H82" i="1" s="1"/>
  <c r="L8" i="3"/>
  <c r="H81" i="1" s="1"/>
  <c r="K8" i="3"/>
  <c r="H80" i="1" s="1"/>
  <c r="J8" i="3"/>
  <c r="H8" i="3"/>
  <c r="F8" i="3"/>
  <c r="H77" i="1" s="1"/>
  <c r="E8" i="3"/>
  <c r="H86" i="1" s="1"/>
  <c r="C8" i="3"/>
  <c r="B8" i="3"/>
  <c r="H76" i="1" s="1"/>
  <c r="T95" i="1" l="1"/>
  <c r="H36" i="1"/>
  <c r="T98" i="1"/>
  <c r="T97" i="1"/>
  <c r="H87" i="1"/>
  <c r="H79" i="1"/>
  <c r="H78" i="1"/>
  <c r="H84" i="1"/>
  <c r="H85" i="1"/>
  <c r="H83" i="1"/>
  <c r="H33" i="1"/>
  <c r="Q21" i="3"/>
  <c r="M21" i="3"/>
  <c r="L21" i="3"/>
  <c r="K21" i="3"/>
  <c r="U99" i="1" s="1"/>
  <c r="J21" i="3"/>
  <c r="H21" i="3"/>
  <c r="F21" i="3"/>
  <c r="U96" i="1" s="1"/>
  <c r="E21" i="3"/>
  <c r="C21" i="3"/>
  <c r="U101" i="1" s="1"/>
  <c r="B21" i="3"/>
  <c r="U100" i="1" l="1"/>
  <c r="U95" i="1"/>
  <c r="I36" i="1"/>
  <c r="U98" i="1"/>
  <c r="U97" i="1"/>
  <c r="AA35" i="40"/>
  <c r="X35" i="40"/>
  <c r="W35" i="40"/>
  <c r="V35" i="40"/>
  <c r="AA34" i="40"/>
  <c r="X34" i="40"/>
  <c r="W34" i="40"/>
  <c r="V34" i="40"/>
  <c r="AA33" i="40"/>
  <c r="X33" i="40"/>
  <c r="W33" i="40"/>
  <c r="V33" i="40"/>
  <c r="AA32" i="40"/>
  <c r="X32" i="40"/>
  <c r="W32" i="40"/>
  <c r="V32" i="40"/>
  <c r="AA31" i="40"/>
  <c r="X31" i="40"/>
  <c r="W31" i="40"/>
  <c r="V31" i="40"/>
  <c r="AA30" i="40"/>
  <c r="X30" i="40"/>
  <c r="W30" i="40"/>
  <c r="V30" i="40"/>
  <c r="AA29" i="40"/>
  <c r="X29" i="40"/>
  <c r="W29" i="40"/>
  <c r="V29" i="40"/>
  <c r="AA28" i="40"/>
  <c r="X28" i="40"/>
  <c r="W28" i="40"/>
  <c r="V28" i="40"/>
  <c r="AA27" i="40"/>
  <c r="X27" i="40"/>
  <c r="W27" i="40"/>
  <c r="V27" i="40"/>
  <c r="AA26" i="40"/>
  <c r="X26" i="40"/>
  <c r="W26" i="40"/>
  <c r="V26" i="40"/>
  <c r="AA25" i="40"/>
  <c r="X25" i="40"/>
  <c r="W25" i="40"/>
  <c r="V25" i="40"/>
  <c r="AA24" i="40"/>
  <c r="X24" i="40"/>
  <c r="W24" i="40"/>
  <c r="V24" i="40"/>
  <c r="AA23" i="40"/>
  <c r="X23" i="40"/>
  <c r="W23" i="40"/>
  <c r="V23" i="40"/>
  <c r="AA22" i="40"/>
  <c r="X22" i="40"/>
  <c r="W22" i="40"/>
  <c r="V22" i="40"/>
  <c r="AA21" i="40"/>
  <c r="X21" i="40"/>
  <c r="W21" i="40"/>
  <c r="V21" i="40"/>
  <c r="AA20" i="40"/>
  <c r="X20" i="40"/>
  <c r="W20" i="40"/>
  <c r="V20" i="40"/>
  <c r="AA19" i="40"/>
  <c r="X19" i="40"/>
  <c r="W19" i="40"/>
  <c r="V19" i="40"/>
  <c r="AA18" i="40"/>
  <c r="X18" i="40"/>
  <c r="W18" i="40"/>
  <c r="V18" i="40"/>
  <c r="AA17" i="40"/>
  <c r="X17" i="40"/>
  <c r="W17" i="40"/>
  <c r="V17" i="40"/>
  <c r="AA16" i="40"/>
  <c r="X16" i="40"/>
  <c r="W16" i="40"/>
  <c r="V16" i="40"/>
  <c r="AA15" i="40"/>
  <c r="X15" i="40"/>
  <c r="W15" i="40"/>
  <c r="V15" i="40"/>
  <c r="AA14" i="40"/>
  <c r="X14" i="40"/>
  <c r="W14" i="40"/>
  <c r="V14" i="40"/>
  <c r="AA13" i="40"/>
  <c r="X13" i="40"/>
  <c r="W13" i="40"/>
  <c r="V13" i="40"/>
  <c r="AA12" i="40"/>
  <c r="X12" i="40"/>
  <c r="W12" i="40"/>
  <c r="V12" i="40"/>
  <c r="AA11" i="40"/>
  <c r="X11" i="40"/>
  <c r="W11" i="40"/>
  <c r="V11" i="40"/>
  <c r="AA10" i="40"/>
  <c r="X10" i="40"/>
  <c r="W10" i="40"/>
  <c r="V10" i="40"/>
  <c r="AA9" i="40"/>
  <c r="X9" i="40"/>
  <c r="W9" i="40"/>
  <c r="V9" i="40"/>
  <c r="AA8" i="40"/>
  <c r="X8" i="40"/>
  <c r="W8" i="40"/>
  <c r="V8" i="40"/>
  <c r="AA7" i="40"/>
  <c r="X7" i="40"/>
  <c r="W7" i="40"/>
  <c r="V7" i="40"/>
  <c r="AA6" i="40"/>
  <c r="X6" i="40"/>
  <c r="W6" i="40"/>
  <c r="V6" i="40"/>
  <c r="AA5" i="40"/>
  <c r="X5" i="40"/>
  <c r="W5" i="40"/>
  <c r="V5" i="40"/>
  <c r="AA4" i="40"/>
  <c r="X4" i="40"/>
  <c r="W4" i="40"/>
  <c r="V4" i="40"/>
  <c r="AA3" i="40"/>
  <c r="X3" i="40"/>
  <c r="W3" i="40"/>
  <c r="V3"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U7" i="40"/>
  <c r="U6" i="40"/>
  <c r="U5" i="40"/>
  <c r="U4" i="40"/>
  <c r="U3" i="40"/>
  <c r="T35" i="40"/>
  <c r="T34" i="40"/>
  <c r="T33" i="40"/>
  <c r="T32" i="40"/>
  <c r="T31" i="40"/>
  <c r="T30" i="40"/>
  <c r="T29" i="40"/>
  <c r="T28" i="40"/>
  <c r="T27" i="40"/>
  <c r="T26" i="40"/>
  <c r="T25" i="40"/>
  <c r="T24" i="40"/>
  <c r="T23" i="40"/>
  <c r="T22" i="40"/>
  <c r="T21" i="40"/>
  <c r="T20" i="40"/>
  <c r="T19" i="40"/>
  <c r="T18" i="40"/>
  <c r="T17" i="40"/>
  <c r="T16" i="40"/>
  <c r="T15" i="40"/>
  <c r="T14" i="40"/>
  <c r="T13" i="40"/>
  <c r="T12" i="40"/>
  <c r="T11" i="40"/>
  <c r="T10" i="40"/>
  <c r="T9" i="40"/>
  <c r="T8" i="40"/>
  <c r="T7" i="40"/>
  <c r="T6" i="40"/>
  <c r="T5" i="40"/>
  <c r="T4" i="40"/>
  <c r="T3" i="40"/>
  <c r="S4" i="40"/>
  <c r="S5" i="40"/>
  <c r="S6" i="40"/>
  <c r="S7" i="40"/>
  <c r="S8" i="40"/>
  <c r="S9" i="40"/>
  <c r="S10" i="40"/>
  <c r="S11" i="40"/>
  <c r="S12" i="40"/>
  <c r="S13" i="40"/>
  <c r="S14" i="40"/>
  <c r="S15" i="40"/>
  <c r="S16" i="40"/>
  <c r="S17" i="40"/>
  <c r="S18" i="40"/>
  <c r="S19" i="40"/>
  <c r="S20" i="40"/>
  <c r="S21" i="40"/>
  <c r="S22" i="40"/>
  <c r="S23" i="40"/>
  <c r="S24" i="40"/>
  <c r="S25" i="40"/>
  <c r="S26" i="40"/>
  <c r="S27" i="40"/>
  <c r="S28" i="40"/>
  <c r="S29" i="40"/>
  <c r="S30" i="40"/>
  <c r="S31" i="40"/>
  <c r="S32" i="40"/>
  <c r="S33" i="40"/>
  <c r="S34" i="40"/>
  <c r="S35" i="40"/>
  <c r="S3"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R7" i="40"/>
  <c r="R6" i="40"/>
  <c r="R5" i="40"/>
  <c r="R4" i="40"/>
  <c r="R3" i="40"/>
  <c r="Q4" i="40"/>
  <c r="Q5" i="40"/>
  <c r="Q6" i="40"/>
  <c r="Q7" i="40"/>
  <c r="Q8" i="40"/>
  <c r="Q9" i="40"/>
  <c r="Q10" i="40"/>
  <c r="Q11" i="40"/>
  <c r="Q12" i="40"/>
  <c r="Q13" i="40"/>
  <c r="Q14" i="40"/>
  <c r="Q15" i="40"/>
  <c r="Q16" i="40"/>
  <c r="Q17" i="40"/>
  <c r="Q18" i="40"/>
  <c r="Q19" i="40"/>
  <c r="Q20" i="40"/>
  <c r="Q21" i="40"/>
  <c r="Q22" i="40"/>
  <c r="Q23" i="40"/>
  <c r="Q24" i="40"/>
  <c r="Q25" i="40"/>
  <c r="Q26" i="40"/>
  <c r="Q27" i="40"/>
  <c r="Q28" i="40"/>
  <c r="Q29" i="40"/>
  <c r="Q30" i="40"/>
  <c r="Q31" i="40"/>
  <c r="Q32" i="40"/>
  <c r="Q33" i="40"/>
  <c r="Q34" i="40"/>
  <c r="Q35" i="40"/>
  <c r="Q3" i="40"/>
  <c r="P4" i="40"/>
  <c r="P5" i="40"/>
  <c r="P6" i="40"/>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 i="40"/>
  <c r="P35" i="39"/>
  <c r="P34" i="39"/>
  <c r="P33" i="39"/>
  <c r="P32" i="39"/>
  <c r="P31" i="39"/>
  <c r="P30" i="39"/>
  <c r="P29" i="39"/>
  <c r="P28" i="39"/>
  <c r="P27" i="39"/>
  <c r="P26" i="39"/>
  <c r="P25" i="39"/>
  <c r="P24" i="39"/>
  <c r="P23" i="39"/>
  <c r="P22" i="39"/>
  <c r="P21" i="39"/>
  <c r="P20" i="39"/>
  <c r="P19" i="39"/>
  <c r="P18" i="39"/>
  <c r="P17" i="39"/>
  <c r="P16" i="39"/>
  <c r="P15" i="39"/>
  <c r="P14" i="39"/>
  <c r="P13" i="39"/>
  <c r="P12" i="39"/>
  <c r="P11" i="39"/>
  <c r="P10" i="39"/>
  <c r="P9" i="39"/>
  <c r="P8" i="39"/>
  <c r="P7" i="39"/>
  <c r="P6" i="39"/>
  <c r="P5" i="39"/>
  <c r="P4" i="39"/>
  <c r="P3" i="39"/>
  <c r="V963" i="1" l="1"/>
  <c r="V962" i="1"/>
  <c r="V961" i="1"/>
  <c r="V960" i="1"/>
  <c r="V890" i="1"/>
  <c r="V889" i="1"/>
  <c r="V888" i="1"/>
  <c r="V887" i="1"/>
  <c r="V813" i="1"/>
  <c r="V812" i="1"/>
  <c r="V811" i="1"/>
  <c r="V810" i="1"/>
  <c r="P633" i="1" l="1"/>
  <c r="Q633" i="1"/>
  <c r="R633" i="1"/>
  <c r="S633" i="1"/>
  <c r="T633" i="1"/>
  <c r="U633" i="1"/>
  <c r="U588" i="1"/>
  <c r="U587" i="1"/>
  <c r="U586" i="1"/>
  <c r="V495" i="1"/>
  <c r="V494" i="1"/>
  <c r="V493" i="1"/>
  <c r="V492" i="1"/>
  <c r="S253" i="1"/>
  <c r="T253" i="1"/>
  <c r="S252" i="1"/>
  <c r="T252" i="1"/>
  <c r="T251" i="1"/>
  <c r="S251" i="1"/>
  <c r="S226" i="1"/>
  <c r="R226" i="1"/>
  <c r="Q226" i="1"/>
  <c r="P226" i="1"/>
  <c r="O226" i="1"/>
  <c r="V178" i="1" l="1"/>
  <c r="V179" i="1"/>
  <c r="V177" i="1"/>
  <c r="V176" i="1"/>
  <c r="T635" i="1"/>
  <c r="S635" i="1"/>
  <c r="R635" i="1"/>
  <c r="Q635" i="1"/>
  <c r="P635" i="1"/>
  <c r="O635" i="1"/>
  <c r="T634" i="1"/>
  <c r="S634" i="1"/>
  <c r="R634" i="1"/>
  <c r="Q634" i="1"/>
  <c r="P634" i="1"/>
  <c r="O634" i="1"/>
  <c r="U631" i="1"/>
  <c r="T631" i="1"/>
  <c r="S631" i="1"/>
  <c r="R631" i="1"/>
  <c r="Q631" i="1"/>
  <c r="P631" i="1"/>
  <c r="O631" i="1"/>
  <c r="P448" i="1"/>
  <c r="J37" i="1"/>
  <c r="A9" i="3"/>
  <c r="Q9" i="3"/>
  <c r="M9" i="3"/>
  <c r="I82" i="1" s="1"/>
  <c r="L9" i="3"/>
  <c r="K9" i="3"/>
  <c r="I80" i="1" s="1"/>
  <c r="J9" i="3"/>
  <c r="H9" i="3"/>
  <c r="F9" i="3"/>
  <c r="I77" i="1" s="1"/>
  <c r="E9" i="3"/>
  <c r="B9" i="3"/>
  <c r="I76" i="1" s="1"/>
  <c r="D21" i="3"/>
  <c r="G21" i="3"/>
  <c r="I21" i="3"/>
  <c r="N21" i="3"/>
  <c r="R21" i="3"/>
  <c r="I81" i="1" l="1"/>
  <c r="I83" i="1"/>
  <c r="I86" i="1"/>
  <c r="I84" i="1"/>
  <c r="I78" i="1"/>
  <c r="I79" i="1"/>
  <c r="I33" i="1"/>
  <c r="R9" i="3"/>
  <c r="I9" i="3"/>
  <c r="N9" i="3"/>
  <c r="D9" i="3"/>
  <c r="G9" i="3"/>
  <c r="AA4" i="39" l="1"/>
  <c r="AA5" i="39"/>
  <c r="AA6" i="39"/>
  <c r="AA7" i="39"/>
  <c r="AA8" i="39"/>
  <c r="AA9" i="39"/>
  <c r="AA10" i="39"/>
  <c r="AA11" i="39"/>
  <c r="AA12" i="39"/>
  <c r="AA13" i="39"/>
  <c r="AA14" i="39"/>
  <c r="AA15" i="39"/>
  <c r="AA16" i="39"/>
  <c r="AA17" i="39"/>
  <c r="AA18" i="39"/>
  <c r="AA19" i="39"/>
  <c r="AA20" i="39"/>
  <c r="AA21" i="39"/>
  <c r="AA22" i="39"/>
  <c r="AA23" i="39"/>
  <c r="AA24" i="39"/>
  <c r="AA25" i="39"/>
  <c r="AA26" i="39"/>
  <c r="AA27" i="39"/>
  <c r="AA28" i="39"/>
  <c r="AA29" i="39"/>
  <c r="AA30" i="39"/>
  <c r="AA31" i="39"/>
  <c r="AA32" i="39"/>
  <c r="AA33" i="39"/>
  <c r="AA34" i="39"/>
  <c r="AA35" i="39"/>
  <c r="AA3" i="39"/>
  <c r="Z4" i="39"/>
  <c r="Z5" i="39"/>
  <c r="Z6" i="39"/>
  <c r="Z7" i="39"/>
  <c r="Z8" i="39"/>
  <c r="Z9" i="39"/>
  <c r="Z10" i="39"/>
  <c r="Z11" i="39"/>
  <c r="Z12" i="39"/>
  <c r="Z13" i="39"/>
  <c r="Z14" i="39"/>
  <c r="Z15" i="39"/>
  <c r="Z16" i="39"/>
  <c r="Z17" i="39"/>
  <c r="Z18" i="39"/>
  <c r="Z19" i="39"/>
  <c r="Z20" i="39"/>
  <c r="Z21" i="39"/>
  <c r="Z22" i="39"/>
  <c r="Z23" i="39"/>
  <c r="Z24" i="39"/>
  <c r="Z25" i="39"/>
  <c r="Z26" i="39"/>
  <c r="Z27" i="39"/>
  <c r="Z28" i="39"/>
  <c r="Z29" i="39"/>
  <c r="Z30" i="39"/>
  <c r="Z31" i="39"/>
  <c r="Z32" i="39"/>
  <c r="Z33" i="39"/>
  <c r="Z34" i="39"/>
  <c r="Z35" i="39"/>
  <c r="Z3" i="39"/>
  <c r="Y4" i="39"/>
  <c r="Y5" i="39"/>
  <c r="Y6" i="39"/>
  <c r="Y7" i="39"/>
  <c r="Y8" i="39"/>
  <c r="Y9" i="39"/>
  <c r="Y10" i="39"/>
  <c r="Y11" i="39"/>
  <c r="Y12" i="39"/>
  <c r="Y13" i="39"/>
  <c r="Y14" i="39"/>
  <c r="Y15" i="39"/>
  <c r="Y16" i="39"/>
  <c r="Y17" i="39"/>
  <c r="Y18" i="39"/>
  <c r="Y19" i="39"/>
  <c r="Y20" i="39"/>
  <c r="Y21" i="39"/>
  <c r="Y22" i="39"/>
  <c r="Y23" i="39"/>
  <c r="Y24" i="39"/>
  <c r="Y25" i="39"/>
  <c r="Y26" i="39"/>
  <c r="Y27" i="39"/>
  <c r="Y28" i="39"/>
  <c r="Y29" i="39"/>
  <c r="Y30" i="39"/>
  <c r="Y31" i="39"/>
  <c r="Y32" i="39"/>
  <c r="Y33" i="39"/>
  <c r="Y34" i="39"/>
  <c r="Y35" i="39"/>
  <c r="Y3" i="39"/>
  <c r="U4" i="39"/>
  <c r="U5" i="39"/>
  <c r="U6" i="39"/>
  <c r="U7" i="39"/>
  <c r="U8" i="39"/>
  <c r="U9" i="39"/>
  <c r="U10" i="39"/>
  <c r="U11" i="39"/>
  <c r="U12" i="39"/>
  <c r="U13" i="39"/>
  <c r="U14" i="39"/>
  <c r="U15" i="39"/>
  <c r="U16" i="39"/>
  <c r="U17" i="39"/>
  <c r="U18" i="39"/>
  <c r="U19" i="39"/>
  <c r="U20" i="39"/>
  <c r="U21" i="39"/>
  <c r="U22" i="39"/>
  <c r="U23" i="39"/>
  <c r="U24" i="39"/>
  <c r="U25" i="39"/>
  <c r="U26" i="39"/>
  <c r="U27" i="39"/>
  <c r="U28" i="39"/>
  <c r="U29" i="39"/>
  <c r="U30" i="39"/>
  <c r="U31" i="39"/>
  <c r="U32" i="39"/>
  <c r="U33" i="39"/>
  <c r="U34" i="39"/>
  <c r="U35" i="39"/>
  <c r="U3" i="39"/>
  <c r="R4" i="39"/>
  <c r="R5" i="39"/>
  <c r="R6" i="39"/>
  <c r="R7" i="39"/>
  <c r="R8" i="39"/>
  <c r="R9" i="39"/>
  <c r="R10" i="39"/>
  <c r="R11" i="39"/>
  <c r="R12" i="39"/>
  <c r="R13" i="39"/>
  <c r="R14" i="39"/>
  <c r="R15" i="39"/>
  <c r="R16" i="39"/>
  <c r="R17" i="39"/>
  <c r="R18" i="39"/>
  <c r="R19" i="39"/>
  <c r="R20" i="39"/>
  <c r="R21" i="39"/>
  <c r="R22" i="39"/>
  <c r="R23" i="39"/>
  <c r="R24" i="39"/>
  <c r="R25" i="39"/>
  <c r="R26" i="39"/>
  <c r="R27" i="39"/>
  <c r="R28" i="39"/>
  <c r="R29" i="39"/>
  <c r="R30" i="39"/>
  <c r="R31" i="39"/>
  <c r="R32" i="39"/>
  <c r="R33" i="39"/>
  <c r="R34" i="39"/>
  <c r="R35" i="39"/>
  <c r="R3" i="39"/>
  <c r="Q4" i="39"/>
  <c r="Q5" i="39"/>
  <c r="Q6" i="39"/>
  <c r="Q7" i="39"/>
  <c r="Q8" i="39"/>
  <c r="Q9" i="39"/>
  <c r="Q10" i="39"/>
  <c r="Q11" i="39"/>
  <c r="Q12" i="39"/>
  <c r="Q13" i="39"/>
  <c r="Q14" i="39"/>
  <c r="Q15" i="39"/>
  <c r="Q16" i="39"/>
  <c r="Q17" i="39"/>
  <c r="Q18" i="39"/>
  <c r="Q19" i="39"/>
  <c r="Q20" i="39"/>
  <c r="Q21" i="39"/>
  <c r="Q22" i="39"/>
  <c r="Q23" i="39"/>
  <c r="Q24" i="39"/>
  <c r="Q25" i="39"/>
  <c r="Q26" i="39"/>
  <c r="Q27" i="39"/>
  <c r="Q28" i="39"/>
  <c r="Q29" i="39"/>
  <c r="Q30" i="39"/>
  <c r="Q31" i="39"/>
  <c r="Q32" i="39"/>
  <c r="Q33" i="39"/>
  <c r="Q34" i="39"/>
  <c r="Q35" i="39"/>
  <c r="Q3" i="39"/>
  <c r="D4" i="28"/>
  <c r="D5" i="28"/>
  <c r="D6" i="28"/>
  <c r="D7" i="28"/>
  <c r="D29" i="28"/>
  <c r="D13" i="28"/>
  <c r="D19" i="28"/>
  <c r="D14" i="28"/>
  <c r="D18" i="28"/>
  <c r="D11" i="28"/>
  <c r="D10" i="28"/>
  <c r="D21" i="28"/>
  <c r="D9" i="28"/>
  <c r="D22" i="28"/>
  <c r="D12" i="28"/>
  <c r="D20" i="28"/>
  <c r="D8" i="28"/>
  <c r="D16" i="28"/>
  <c r="D17" i="28"/>
  <c r="D24" i="28"/>
  <c r="D25" i="28"/>
  <c r="D30" i="28"/>
  <c r="D26" i="28"/>
  <c r="D28" i="28"/>
  <c r="D23" i="28"/>
  <c r="D32" i="28"/>
  <c r="D27" i="28"/>
  <c r="D33" i="28"/>
  <c r="D34" i="28"/>
  <c r="D3" i="28"/>
  <c r="D31" i="28"/>
  <c r="D15" i="28"/>
  <c r="X4" i="39"/>
  <c r="X5" i="39"/>
  <c r="X6" i="39"/>
  <c r="X7" i="39"/>
  <c r="X8" i="39"/>
  <c r="X9" i="39"/>
  <c r="X10" i="39"/>
  <c r="X11" i="39"/>
  <c r="X12" i="39"/>
  <c r="X13" i="39"/>
  <c r="X14" i="39"/>
  <c r="X15" i="39"/>
  <c r="X16" i="39"/>
  <c r="X17" i="39"/>
  <c r="X18" i="39"/>
  <c r="X19" i="39"/>
  <c r="X20" i="39"/>
  <c r="X21" i="39"/>
  <c r="X22" i="39"/>
  <c r="X23" i="39"/>
  <c r="X24" i="39"/>
  <c r="X25" i="39"/>
  <c r="X26" i="39"/>
  <c r="X27" i="39"/>
  <c r="X28" i="39"/>
  <c r="X29" i="39"/>
  <c r="X30" i="39"/>
  <c r="X31" i="39"/>
  <c r="X32" i="39"/>
  <c r="X33" i="39"/>
  <c r="X34" i="39"/>
  <c r="X35" i="39"/>
  <c r="U961" i="1" s="1"/>
  <c r="X3" i="39"/>
  <c r="D32" i="27"/>
  <c r="D13" i="27"/>
  <c r="D17" i="27"/>
  <c r="D34" i="27"/>
  <c r="D28" i="27"/>
  <c r="D16" i="27"/>
  <c r="D15" i="27"/>
  <c r="D31" i="27"/>
  <c r="D14" i="27"/>
  <c r="D22" i="27"/>
  <c r="D29" i="27"/>
  <c r="D33" i="27"/>
  <c r="D11" i="27"/>
  <c r="D4" i="27"/>
  <c r="D5" i="27"/>
  <c r="D3" i="27"/>
  <c r="D10" i="27"/>
  <c r="D30" i="27"/>
  <c r="D25" i="27"/>
  <c r="D23" i="27"/>
  <c r="D7" i="27"/>
  <c r="D26" i="27"/>
  <c r="D27" i="27"/>
  <c r="D12" i="27"/>
  <c r="D8" i="27"/>
  <c r="D9" i="27"/>
  <c r="D18" i="27"/>
  <c r="D19" i="27"/>
  <c r="D21" i="27"/>
  <c r="D20" i="27"/>
  <c r="D24" i="27"/>
  <c r="D6" i="27"/>
  <c r="W4" i="39"/>
  <c r="W5" i="39"/>
  <c r="W6" i="39"/>
  <c r="W7" i="39"/>
  <c r="W8" i="39"/>
  <c r="W9" i="39"/>
  <c r="W10" i="39"/>
  <c r="W11" i="39"/>
  <c r="W12" i="39"/>
  <c r="W13" i="39"/>
  <c r="W14" i="39"/>
  <c r="W15" i="39"/>
  <c r="W16" i="39"/>
  <c r="W17" i="39"/>
  <c r="W18" i="39"/>
  <c r="W19" i="39"/>
  <c r="W20" i="39"/>
  <c r="W21" i="39"/>
  <c r="W22" i="39"/>
  <c r="W23" i="39"/>
  <c r="W24" i="39"/>
  <c r="W25" i="39"/>
  <c r="W26" i="39"/>
  <c r="W27" i="39"/>
  <c r="W28" i="39"/>
  <c r="W29" i="39"/>
  <c r="W30" i="39"/>
  <c r="W31" i="39"/>
  <c r="W32" i="39"/>
  <c r="W33" i="39"/>
  <c r="W34" i="39"/>
  <c r="W35" i="39"/>
  <c r="U888" i="1" s="1"/>
  <c r="W3" i="39"/>
  <c r="D27" i="23"/>
  <c r="D7" i="23"/>
  <c r="D32" i="23"/>
  <c r="D4" i="23"/>
  <c r="D31" i="23"/>
  <c r="D20" i="23"/>
  <c r="D21" i="23"/>
  <c r="D29" i="23"/>
  <c r="D19" i="23"/>
  <c r="D24" i="23"/>
  <c r="D18" i="23"/>
  <c r="D5" i="23"/>
  <c r="D30" i="23"/>
  <c r="D13" i="23"/>
  <c r="D26" i="23"/>
  <c r="D22" i="23"/>
  <c r="D14" i="23"/>
  <c r="D17" i="23"/>
  <c r="D8" i="23"/>
  <c r="D23" i="23"/>
  <c r="D25" i="23"/>
  <c r="D6" i="23"/>
  <c r="D16" i="23"/>
  <c r="D33" i="23"/>
  <c r="D34" i="23"/>
  <c r="D28" i="23"/>
  <c r="D9" i="23"/>
  <c r="D11" i="23"/>
  <c r="D12" i="23"/>
  <c r="D3" i="23"/>
  <c r="D15" i="23"/>
  <c r="D10" i="23"/>
  <c r="V4" i="39"/>
  <c r="V5" i="39"/>
  <c r="V6" i="39"/>
  <c r="V7" i="39"/>
  <c r="V8" i="39"/>
  <c r="V9" i="39"/>
  <c r="V10" i="39"/>
  <c r="V11" i="39"/>
  <c r="V12" i="39"/>
  <c r="V13" i="39"/>
  <c r="V14" i="39"/>
  <c r="V15" i="39"/>
  <c r="V16" i="39"/>
  <c r="V17" i="39"/>
  <c r="V18" i="39"/>
  <c r="V19" i="39"/>
  <c r="V20" i="39"/>
  <c r="V21" i="39"/>
  <c r="V22" i="39"/>
  <c r="V23" i="39"/>
  <c r="V24" i="39"/>
  <c r="V25" i="39"/>
  <c r="V26" i="39"/>
  <c r="V27" i="39"/>
  <c r="V28" i="39"/>
  <c r="V29" i="39"/>
  <c r="V30" i="39"/>
  <c r="V31" i="39"/>
  <c r="V32" i="39"/>
  <c r="V33" i="39"/>
  <c r="V34" i="39"/>
  <c r="V35" i="39"/>
  <c r="U811" i="1" s="1"/>
  <c r="V3" i="39"/>
  <c r="U960" i="1" l="1"/>
  <c r="U810" i="1"/>
  <c r="U887" i="1"/>
  <c r="U890" i="1"/>
  <c r="U889" i="1"/>
  <c r="U813" i="1"/>
  <c r="U812" i="1"/>
  <c r="U963" i="1"/>
  <c r="U962" i="1"/>
  <c r="D27" i="22"/>
  <c r="D23" i="22"/>
  <c r="D21" i="22"/>
  <c r="D5" i="22"/>
  <c r="D19" i="22"/>
  <c r="D10" i="22"/>
  <c r="D6" i="22"/>
  <c r="D26" i="22"/>
  <c r="D28" i="22"/>
  <c r="D15" i="22"/>
  <c r="D22" i="22"/>
  <c r="D20" i="22"/>
  <c r="D33" i="22"/>
  <c r="D4" i="22"/>
  <c r="D24" i="22"/>
  <c r="D18" i="22"/>
  <c r="D17" i="22"/>
  <c r="D34" i="22"/>
  <c r="D3" i="22"/>
  <c r="D16" i="22"/>
  <c r="D7" i="22"/>
  <c r="D25" i="22"/>
  <c r="D8" i="22"/>
  <c r="D30" i="22"/>
  <c r="D31" i="22"/>
  <c r="D9" i="22"/>
  <c r="D12" i="22"/>
  <c r="D13" i="22"/>
  <c r="D11" i="22"/>
  <c r="D14" i="22"/>
  <c r="D32" i="22"/>
  <c r="D29" i="22"/>
  <c r="T4" i="39"/>
  <c r="T5" i="39"/>
  <c r="T6" i="39"/>
  <c r="T7" i="39"/>
  <c r="T8" i="39"/>
  <c r="T9" i="39"/>
  <c r="T10" i="39"/>
  <c r="T11" i="39"/>
  <c r="T12" i="39"/>
  <c r="T13" i="39"/>
  <c r="T14" i="39"/>
  <c r="T15" i="39"/>
  <c r="T16" i="39"/>
  <c r="T17" i="39"/>
  <c r="T18" i="39"/>
  <c r="T19" i="39"/>
  <c r="T20" i="39"/>
  <c r="T21" i="39"/>
  <c r="T22" i="39"/>
  <c r="T23" i="39"/>
  <c r="T24" i="39"/>
  <c r="T25" i="39"/>
  <c r="T26" i="39"/>
  <c r="T27" i="39"/>
  <c r="T28" i="39"/>
  <c r="T29" i="39"/>
  <c r="T30" i="39"/>
  <c r="T31" i="39"/>
  <c r="T32" i="39"/>
  <c r="T33" i="39"/>
  <c r="T34" i="39"/>
  <c r="T35" i="39"/>
  <c r="U493" i="1" s="1"/>
  <c r="T3" i="39"/>
  <c r="D15" i="21"/>
  <c r="D27" i="21"/>
  <c r="D32" i="21"/>
  <c r="D12" i="21"/>
  <c r="D5" i="21"/>
  <c r="D13" i="21"/>
  <c r="D33" i="21"/>
  <c r="D19" i="21"/>
  <c r="D6" i="21"/>
  <c r="D23" i="21"/>
  <c r="D29" i="21"/>
  <c r="D24" i="21"/>
  <c r="D22" i="21"/>
  <c r="D3" i="21"/>
  <c r="D8" i="21"/>
  <c r="D10" i="21"/>
  <c r="D7" i="21"/>
  <c r="D18" i="21"/>
  <c r="D4" i="21"/>
  <c r="D17" i="21"/>
  <c r="D31" i="21"/>
  <c r="D11" i="21"/>
  <c r="D25" i="21"/>
  <c r="D26" i="21"/>
  <c r="D34" i="21"/>
  <c r="D14" i="21"/>
  <c r="D21" i="21"/>
  <c r="D28" i="21"/>
  <c r="D30" i="21"/>
  <c r="D20" i="21"/>
  <c r="D9" i="21"/>
  <c r="D16" i="21"/>
  <c r="S4" i="39"/>
  <c r="S5" i="39"/>
  <c r="S6" i="39"/>
  <c r="S7" i="39"/>
  <c r="S8" i="39"/>
  <c r="S9" i="39"/>
  <c r="S10" i="39"/>
  <c r="S11" i="39"/>
  <c r="S12" i="39"/>
  <c r="S13" i="39"/>
  <c r="S14" i="39"/>
  <c r="S15" i="39"/>
  <c r="S16" i="39"/>
  <c r="S17" i="39"/>
  <c r="S18" i="39"/>
  <c r="S19" i="39"/>
  <c r="S20" i="39"/>
  <c r="S21" i="39"/>
  <c r="S22" i="39"/>
  <c r="S23" i="39"/>
  <c r="S24" i="39"/>
  <c r="S25" i="39"/>
  <c r="S26" i="39"/>
  <c r="S27" i="39"/>
  <c r="S28" i="39"/>
  <c r="S29" i="39"/>
  <c r="S30" i="39"/>
  <c r="S31" i="39"/>
  <c r="S32" i="39"/>
  <c r="S33" i="39"/>
  <c r="S34" i="39"/>
  <c r="S35" i="39"/>
  <c r="U177" i="1" s="1"/>
  <c r="S3" i="39"/>
  <c r="D27" i="20"/>
  <c r="D32" i="20"/>
  <c r="D25" i="20"/>
  <c r="D7" i="20"/>
  <c r="D29" i="20"/>
  <c r="D18" i="20"/>
  <c r="D6" i="20"/>
  <c r="D14" i="20"/>
  <c r="D19" i="20"/>
  <c r="D30" i="20"/>
  <c r="D5" i="20"/>
  <c r="D26" i="20"/>
  <c r="D9" i="20"/>
  <c r="D24" i="20"/>
  <c r="D15" i="20"/>
  <c r="D31" i="20"/>
  <c r="D8" i="20"/>
  <c r="D23" i="20"/>
  <c r="D4" i="20"/>
  <c r="D21" i="20"/>
  <c r="D10" i="20"/>
  <c r="D33" i="20"/>
  <c r="D11" i="20"/>
  <c r="D22" i="20"/>
  <c r="D28" i="20"/>
  <c r="D16" i="20"/>
  <c r="D17" i="20"/>
  <c r="D3" i="20"/>
  <c r="D13" i="20"/>
  <c r="D12" i="20"/>
  <c r="D34" i="20"/>
  <c r="D20" i="20"/>
  <c r="U492" i="1" l="1"/>
  <c r="U176" i="1"/>
  <c r="U179" i="1"/>
  <c r="U178" i="1"/>
  <c r="U495" i="1"/>
  <c r="U494" i="1"/>
  <c r="Q19" i="3" l="1"/>
  <c r="P19" i="3"/>
  <c r="O19" i="3"/>
  <c r="M19" i="3"/>
  <c r="L19" i="3"/>
  <c r="K19" i="3"/>
  <c r="S99" i="1" s="1"/>
  <c r="J19" i="3"/>
  <c r="H19" i="3"/>
  <c r="F19" i="3"/>
  <c r="S96" i="1" s="1"/>
  <c r="E19" i="3"/>
  <c r="C19" i="3"/>
  <c r="B19" i="3"/>
  <c r="Q18" i="3"/>
  <c r="P18" i="3"/>
  <c r="O18" i="3"/>
  <c r="M18" i="3"/>
  <c r="L18" i="3"/>
  <c r="K18" i="3"/>
  <c r="R99" i="1" s="1"/>
  <c r="J18" i="3"/>
  <c r="H18" i="3"/>
  <c r="F18" i="3"/>
  <c r="R96" i="1" s="1"/>
  <c r="E18" i="3"/>
  <c r="C18" i="3"/>
  <c r="B18" i="3"/>
  <c r="Q17" i="3"/>
  <c r="P17" i="3"/>
  <c r="O17" i="3"/>
  <c r="M17" i="3"/>
  <c r="L17" i="3"/>
  <c r="K17" i="3"/>
  <c r="Q99" i="1" s="1"/>
  <c r="J17" i="3"/>
  <c r="H17" i="3"/>
  <c r="F17" i="3"/>
  <c r="Q96" i="1" s="1"/>
  <c r="E17" i="3"/>
  <c r="C17" i="3"/>
  <c r="B17" i="3"/>
  <c r="Q16" i="3"/>
  <c r="P16" i="3"/>
  <c r="O16" i="3"/>
  <c r="M16" i="3"/>
  <c r="L16" i="3"/>
  <c r="K16" i="3"/>
  <c r="P99" i="1" s="1"/>
  <c r="J16" i="3"/>
  <c r="H16" i="3"/>
  <c r="F16" i="3"/>
  <c r="P96" i="1" s="1"/>
  <c r="E16" i="3"/>
  <c r="C16" i="3"/>
  <c r="B16" i="3"/>
  <c r="Q15" i="3"/>
  <c r="P15" i="3"/>
  <c r="O15" i="3"/>
  <c r="M15" i="3"/>
  <c r="L15" i="3"/>
  <c r="K15" i="3"/>
  <c r="O99" i="1" s="1"/>
  <c r="J15" i="3"/>
  <c r="H15" i="3"/>
  <c r="F15" i="3"/>
  <c r="O96" i="1" s="1"/>
  <c r="E15" i="3"/>
  <c r="C15" i="3"/>
  <c r="B15" i="3"/>
  <c r="Q14" i="3"/>
  <c r="P14" i="3"/>
  <c r="O14" i="3"/>
  <c r="M14" i="3"/>
  <c r="L14" i="3"/>
  <c r="K14" i="3"/>
  <c r="J14" i="3"/>
  <c r="H14" i="3"/>
  <c r="F14" i="3"/>
  <c r="E14" i="3"/>
  <c r="C14" i="3"/>
  <c r="B14" i="3"/>
  <c r="A8" i="3"/>
  <c r="Q7" i="3"/>
  <c r="P7" i="3"/>
  <c r="G87" i="1" s="1"/>
  <c r="O7" i="3"/>
  <c r="M7" i="3"/>
  <c r="G82" i="1" s="1"/>
  <c r="L7" i="3"/>
  <c r="G81" i="1" s="1"/>
  <c r="K7" i="3"/>
  <c r="G80" i="1" s="1"/>
  <c r="J7" i="3"/>
  <c r="H7" i="3"/>
  <c r="F7" i="3"/>
  <c r="G77" i="1" s="1"/>
  <c r="E7" i="3"/>
  <c r="G86" i="1" s="1"/>
  <c r="C7" i="3"/>
  <c r="B7" i="3"/>
  <c r="G76" i="1" s="1"/>
  <c r="A7" i="3"/>
  <c r="Q6" i="3"/>
  <c r="P6" i="3"/>
  <c r="F87" i="1" s="1"/>
  <c r="O6" i="3"/>
  <c r="M6" i="3"/>
  <c r="F82" i="1" s="1"/>
  <c r="L6" i="3"/>
  <c r="F81" i="1" s="1"/>
  <c r="K6" i="3"/>
  <c r="F80" i="1" s="1"/>
  <c r="J6" i="3"/>
  <c r="H6" i="3"/>
  <c r="F6" i="3"/>
  <c r="F77" i="1" s="1"/>
  <c r="E6" i="3"/>
  <c r="F86" i="1" s="1"/>
  <c r="C6" i="3"/>
  <c r="B6" i="3"/>
  <c r="F76" i="1" s="1"/>
  <c r="A6" i="3"/>
  <c r="Q5" i="3"/>
  <c r="P5" i="3"/>
  <c r="E87" i="1" s="1"/>
  <c r="O5" i="3"/>
  <c r="M5" i="3"/>
  <c r="E82" i="1" s="1"/>
  <c r="L5" i="3"/>
  <c r="E81" i="1" s="1"/>
  <c r="K5" i="3"/>
  <c r="E80" i="1" s="1"/>
  <c r="J5" i="3"/>
  <c r="H5" i="3"/>
  <c r="F5" i="3"/>
  <c r="E77" i="1" s="1"/>
  <c r="E5" i="3"/>
  <c r="E86" i="1" s="1"/>
  <c r="C5" i="3"/>
  <c r="B5" i="3"/>
  <c r="E76" i="1" s="1"/>
  <c r="A5" i="3"/>
  <c r="Q4" i="3"/>
  <c r="P4" i="3"/>
  <c r="D87" i="1" s="1"/>
  <c r="O4" i="3"/>
  <c r="M4" i="3"/>
  <c r="D82" i="1" s="1"/>
  <c r="L4" i="3"/>
  <c r="D81" i="1" s="1"/>
  <c r="K4" i="3"/>
  <c r="D80" i="1" s="1"/>
  <c r="J4" i="3"/>
  <c r="H4" i="3"/>
  <c r="F4" i="3"/>
  <c r="D77" i="1" s="1"/>
  <c r="E4" i="3"/>
  <c r="D86" i="1" s="1"/>
  <c r="C4" i="3"/>
  <c r="B4" i="3"/>
  <c r="D76" i="1" s="1"/>
  <c r="A4" i="3"/>
  <c r="Q3" i="3"/>
  <c r="P3" i="3"/>
  <c r="C87" i="1" s="1"/>
  <c r="O3" i="3"/>
  <c r="M3" i="3"/>
  <c r="C82" i="1" s="1"/>
  <c r="L3" i="3"/>
  <c r="C81" i="1" s="1"/>
  <c r="K3" i="3"/>
  <c r="C80" i="1" s="1"/>
  <c r="J3" i="3"/>
  <c r="H3" i="3"/>
  <c r="F3" i="3"/>
  <c r="C77" i="1" s="1"/>
  <c r="E3" i="3"/>
  <c r="C86" i="1" s="1"/>
  <c r="C3" i="3"/>
  <c r="B3" i="3"/>
  <c r="C76" i="1" s="1"/>
  <c r="A3" i="3"/>
  <c r="Q2" i="3"/>
  <c r="Q12" i="3" s="1"/>
  <c r="P2" i="3"/>
  <c r="O2" i="3"/>
  <c r="M2" i="3"/>
  <c r="L2" i="3"/>
  <c r="K2" i="3"/>
  <c r="J2" i="3"/>
  <c r="J12" i="3" s="1"/>
  <c r="H2" i="3"/>
  <c r="F2" i="3"/>
  <c r="E2" i="3"/>
  <c r="C2" i="3"/>
  <c r="C12" i="3" s="1"/>
  <c r="B2" i="3"/>
  <c r="B12" i="3" s="1"/>
  <c r="A2" i="3"/>
  <c r="F12" i="3" l="1"/>
  <c r="X153" i="1"/>
  <c r="A481" i="1"/>
  <c r="X467" i="1"/>
  <c r="H12" i="3"/>
  <c r="A946" i="1"/>
  <c r="X932" i="1"/>
  <c r="M12" i="3"/>
  <c r="A799" i="1"/>
  <c r="X785" i="1"/>
  <c r="K12" i="3"/>
  <c r="A872" i="1"/>
  <c r="L12" i="3"/>
  <c r="Y856" i="1"/>
  <c r="O101" i="1"/>
  <c r="P101" i="1"/>
  <c r="Q101" i="1"/>
  <c r="R101" i="1"/>
  <c r="S101" i="1"/>
  <c r="W468" i="1"/>
  <c r="W933" i="1"/>
  <c r="O95" i="1"/>
  <c r="C36" i="1"/>
  <c r="O98" i="1"/>
  <c r="O97" i="1"/>
  <c r="I16" i="3"/>
  <c r="P95" i="1"/>
  <c r="D36" i="1"/>
  <c r="P98" i="1"/>
  <c r="P97" i="1"/>
  <c r="I17" i="3"/>
  <c r="Q95" i="1"/>
  <c r="E36" i="1"/>
  <c r="Q98" i="1"/>
  <c r="Q97" i="1"/>
  <c r="I18" i="3"/>
  <c r="R95" i="1"/>
  <c r="F36" i="1"/>
  <c r="R98" i="1"/>
  <c r="R97" i="1"/>
  <c r="S95" i="1"/>
  <c r="G36" i="1"/>
  <c r="S98" i="1"/>
  <c r="S97" i="1"/>
  <c r="O100" i="1"/>
  <c r="P100" i="1"/>
  <c r="Q100" i="1"/>
  <c r="R100" i="1"/>
  <c r="S100" i="1"/>
  <c r="W779" i="1"/>
  <c r="W786" i="1"/>
  <c r="W154" i="1"/>
  <c r="X857" i="1"/>
  <c r="C83" i="1"/>
  <c r="G83" i="1"/>
  <c r="W785" i="1"/>
  <c r="D83" i="1"/>
  <c r="C84" i="1"/>
  <c r="C85" i="1"/>
  <c r="D78" i="1"/>
  <c r="D79" i="1"/>
  <c r="E84" i="1"/>
  <c r="E85" i="1"/>
  <c r="E83" i="1"/>
  <c r="F78" i="1"/>
  <c r="F79" i="1"/>
  <c r="G85" i="1"/>
  <c r="G84" i="1"/>
  <c r="D84" i="1"/>
  <c r="D85" i="1"/>
  <c r="E78" i="1"/>
  <c r="E79" i="1"/>
  <c r="C78" i="1"/>
  <c r="C79" i="1"/>
  <c r="F84" i="1"/>
  <c r="F85" i="1"/>
  <c r="F83" i="1"/>
  <c r="G78" i="1"/>
  <c r="G79" i="1"/>
  <c r="D33" i="1"/>
  <c r="E33" i="1"/>
  <c r="F33" i="1"/>
  <c r="C33" i="1"/>
  <c r="G33" i="1"/>
  <c r="W153" i="1"/>
  <c r="A165" i="1"/>
  <c r="W467" i="1"/>
  <c r="W932" i="1"/>
  <c r="X856" i="1"/>
  <c r="W778" i="1"/>
  <c r="R19" i="3"/>
  <c r="R15" i="3"/>
  <c r="U154" i="1"/>
  <c r="V154" i="1"/>
  <c r="W857" i="1"/>
  <c r="V857" i="1"/>
  <c r="V468" i="1"/>
  <c r="U468" i="1"/>
  <c r="V786" i="1"/>
  <c r="U786" i="1"/>
  <c r="V933" i="1"/>
  <c r="U933" i="1"/>
  <c r="I14" i="3"/>
  <c r="V153" i="1"/>
  <c r="W856" i="1"/>
  <c r="V467" i="1"/>
  <c r="V785" i="1"/>
  <c r="V932" i="1"/>
  <c r="R2" i="3"/>
  <c r="R4" i="3"/>
  <c r="R6" i="3"/>
  <c r="G19" i="3"/>
  <c r="R17" i="3"/>
  <c r="G17" i="3"/>
  <c r="U153" i="1"/>
  <c r="R3" i="3"/>
  <c r="R5" i="3"/>
  <c r="R7" i="3"/>
  <c r="G2" i="3"/>
  <c r="G3" i="3"/>
  <c r="G4" i="3"/>
  <c r="G5" i="3"/>
  <c r="G6" i="3"/>
  <c r="G7" i="3"/>
  <c r="I2" i="3"/>
  <c r="I3" i="3"/>
  <c r="I4" i="3"/>
  <c r="I5" i="3"/>
  <c r="I6" i="3"/>
  <c r="I7" i="3"/>
  <c r="D14" i="3"/>
  <c r="N14" i="3"/>
  <c r="R14" i="3"/>
  <c r="G15" i="3"/>
  <c r="I15" i="3"/>
  <c r="D16" i="3"/>
  <c r="N16" i="3"/>
  <c r="R16" i="3"/>
  <c r="D18" i="3"/>
  <c r="N18" i="3"/>
  <c r="R18" i="3"/>
  <c r="I19" i="3"/>
  <c r="G14" i="3"/>
  <c r="D15" i="3"/>
  <c r="N15" i="3"/>
  <c r="G16" i="3"/>
  <c r="D17" i="3"/>
  <c r="N17" i="3"/>
  <c r="G18" i="3"/>
  <c r="D19" i="3"/>
  <c r="N19" i="3"/>
  <c r="D2" i="3"/>
  <c r="N2" i="3"/>
  <c r="D3" i="3"/>
  <c r="N3" i="3"/>
  <c r="D4" i="3"/>
  <c r="N4" i="3"/>
  <c r="D5" i="3"/>
  <c r="N5" i="3"/>
  <c r="D6" i="3"/>
  <c r="N6" i="3"/>
  <c r="D7" i="3"/>
  <c r="N7" i="3"/>
  <c r="J34" i="1"/>
  <c r="W51" i="1" l="1"/>
  <c r="C38" i="1"/>
  <c r="C35" i="1"/>
  <c r="W50" i="1"/>
  <c r="U635" i="1"/>
  <c r="U634" i="1"/>
  <c r="U542" i="1" l="1"/>
  <c r="U543" i="1"/>
  <c r="U544" i="1"/>
  <c r="N101" i="26"/>
  <c r="N123" i="26"/>
  <c r="N100" i="26"/>
  <c r="N106" i="26"/>
  <c r="N104" i="26"/>
  <c r="N102" i="26"/>
  <c r="N110" i="26"/>
  <c r="N119" i="26"/>
  <c r="N114" i="26"/>
  <c r="N107" i="26"/>
  <c r="N99" i="26"/>
  <c r="N105" i="26"/>
  <c r="N128" i="26"/>
  <c r="N124" i="26"/>
  <c r="N103" i="26"/>
  <c r="N116" i="26"/>
  <c r="N117" i="26"/>
  <c r="N126" i="26"/>
  <c r="N118" i="26"/>
  <c r="N122" i="26"/>
  <c r="N112" i="26"/>
  <c r="N129" i="26"/>
  <c r="N125" i="26"/>
  <c r="N121" i="26"/>
  <c r="N115" i="26"/>
  <c r="N109" i="26"/>
  <c r="N111" i="26"/>
  <c r="N120" i="26"/>
  <c r="N130" i="26"/>
  <c r="N98" i="26"/>
  <c r="N127" i="26"/>
  <c r="N113" i="26"/>
  <c r="N108" i="26"/>
  <c r="O107" i="26"/>
  <c r="P107" i="26"/>
  <c r="O114" i="26"/>
  <c r="P114" i="26"/>
  <c r="O99" i="26"/>
  <c r="P99" i="26"/>
  <c r="O104" i="26"/>
  <c r="P104" i="26"/>
  <c r="O128" i="26"/>
  <c r="P128" i="26"/>
  <c r="O108" i="26"/>
  <c r="P108" i="26"/>
  <c r="O103" i="26"/>
  <c r="P103" i="26"/>
  <c r="O129" i="26"/>
  <c r="P129" i="26"/>
  <c r="O118" i="26"/>
  <c r="P118" i="26"/>
  <c r="O116" i="26"/>
  <c r="P116" i="26"/>
  <c r="O105" i="26"/>
  <c r="P105" i="26"/>
  <c r="O120" i="26"/>
  <c r="P120" i="26"/>
  <c r="O115" i="26"/>
  <c r="P115" i="26"/>
  <c r="O130" i="26"/>
  <c r="P130" i="26"/>
  <c r="O127" i="26"/>
  <c r="P127" i="26"/>
  <c r="O123" i="26"/>
  <c r="P123" i="26"/>
  <c r="O100" i="26"/>
  <c r="P100" i="26"/>
  <c r="O101" i="26"/>
  <c r="P101" i="26"/>
  <c r="O102" i="26"/>
  <c r="P102" i="26"/>
  <c r="O121" i="26"/>
  <c r="P121" i="26"/>
  <c r="O122" i="26"/>
  <c r="P122" i="26"/>
  <c r="O126" i="26"/>
  <c r="P126" i="26"/>
  <c r="O109" i="26"/>
  <c r="P109" i="26"/>
  <c r="O110" i="26"/>
  <c r="P110" i="26"/>
  <c r="O113" i="26"/>
  <c r="P113" i="26"/>
  <c r="O125" i="26"/>
  <c r="P125" i="26"/>
  <c r="O119" i="26"/>
  <c r="P119" i="26"/>
  <c r="O106" i="26"/>
  <c r="P106" i="26"/>
  <c r="O111" i="26"/>
  <c r="P111" i="26"/>
  <c r="O124" i="26"/>
  <c r="P124" i="26"/>
  <c r="O117" i="26"/>
  <c r="P117" i="26"/>
  <c r="O98" i="26"/>
  <c r="P98" i="26"/>
  <c r="O112" i="26"/>
  <c r="P112" i="26"/>
  <c r="P3" i="37" l="1"/>
  <c r="Q3" i="37"/>
  <c r="R3" i="37"/>
  <c r="S3" i="37"/>
  <c r="T3" i="37"/>
  <c r="U3" i="37"/>
  <c r="V3" i="37"/>
  <c r="W3" i="37"/>
  <c r="X3" i="37"/>
  <c r="Y3" i="37"/>
  <c r="Z3" i="37"/>
  <c r="AA3" i="37"/>
  <c r="P4" i="37"/>
  <c r="Q4" i="37"/>
  <c r="R4" i="37"/>
  <c r="S4" i="37"/>
  <c r="T4" i="37"/>
  <c r="U4" i="37"/>
  <c r="V4" i="37"/>
  <c r="W4" i="37"/>
  <c r="X4" i="37"/>
  <c r="Y4" i="37"/>
  <c r="Z4" i="37"/>
  <c r="AA4" i="37"/>
  <c r="P5" i="37"/>
  <c r="Q5" i="37"/>
  <c r="R5" i="37"/>
  <c r="S5" i="37"/>
  <c r="T5" i="37"/>
  <c r="U5" i="37"/>
  <c r="V5" i="37"/>
  <c r="W5" i="37"/>
  <c r="X5" i="37"/>
  <c r="Y5" i="37"/>
  <c r="Z5" i="37"/>
  <c r="AA5" i="37"/>
  <c r="P6" i="37"/>
  <c r="Q6" i="37"/>
  <c r="R6" i="37"/>
  <c r="S6" i="37"/>
  <c r="T6" i="37"/>
  <c r="U6" i="37"/>
  <c r="V6" i="37"/>
  <c r="W6" i="37"/>
  <c r="X6" i="37"/>
  <c r="Y6" i="37"/>
  <c r="Z6" i="37"/>
  <c r="AA6" i="37"/>
  <c r="P7" i="37"/>
  <c r="Q7" i="37"/>
  <c r="R7" i="37"/>
  <c r="S7" i="37"/>
  <c r="T7" i="37"/>
  <c r="U7" i="37"/>
  <c r="V7" i="37"/>
  <c r="W7" i="37"/>
  <c r="X7" i="37"/>
  <c r="Y7" i="37"/>
  <c r="Z7" i="37"/>
  <c r="AA7" i="37"/>
  <c r="P8" i="37"/>
  <c r="Q8" i="37"/>
  <c r="R8" i="37"/>
  <c r="S8" i="37"/>
  <c r="T8" i="37"/>
  <c r="U8" i="37"/>
  <c r="V8" i="37"/>
  <c r="W8" i="37"/>
  <c r="X8" i="37"/>
  <c r="Y8" i="37"/>
  <c r="Z8" i="37"/>
  <c r="AA8" i="37"/>
  <c r="P9" i="37"/>
  <c r="Q9" i="37"/>
  <c r="R9" i="37"/>
  <c r="S9" i="37"/>
  <c r="T9" i="37"/>
  <c r="U9" i="37"/>
  <c r="V9" i="37"/>
  <c r="W9" i="37"/>
  <c r="X9" i="37"/>
  <c r="Y9" i="37"/>
  <c r="Z9" i="37"/>
  <c r="AA9" i="37"/>
  <c r="P10" i="37"/>
  <c r="Q10" i="37"/>
  <c r="R10" i="37"/>
  <c r="S10" i="37"/>
  <c r="T10" i="37"/>
  <c r="U10" i="37"/>
  <c r="V10" i="37"/>
  <c r="W10" i="37"/>
  <c r="X10" i="37"/>
  <c r="Y10" i="37"/>
  <c r="Z10" i="37"/>
  <c r="AA10" i="37"/>
  <c r="P11" i="37"/>
  <c r="Q11" i="37"/>
  <c r="R11" i="37"/>
  <c r="S11" i="37"/>
  <c r="T11" i="37"/>
  <c r="U11" i="37"/>
  <c r="V11" i="37"/>
  <c r="W11" i="37"/>
  <c r="X11" i="37"/>
  <c r="Y11" i="37"/>
  <c r="Z11" i="37"/>
  <c r="AA11" i="37"/>
  <c r="P12" i="37"/>
  <c r="Q12" i="37"/>
  <c r="R12" i="37"/>
  <c r="S12" i="37"/>
  <c r="T12" i="37"/>
  <c r="U12" i="37"/>
  <c r="V12" i="37"/>
  <c r="W12" i="37"/>
  <c r="X12" i="37"/>
  <c r="Y12" i="37"/>
  <c r="Z12" i="37"/>
  <c r="AA12" i="37"/>
  <c r="P13" i="37"/>
  <c r="Q13" i="37"/>
  <c r="R13" i="37"/>
  <c r="S13" i="37"/>
  <c r="T13" i="37"/>
  <c r="U13" i="37"/>
  <c r="V13" i="37"/>
  <c r="W13" i="37"/>
  <c r="X13" i="37"/>
  <c r="Y13" i="37"/>
  <c r="Z13" i="37"/>
  <c r="AA13" i="37"/>
  <c r="P14" i="37"/>
  <c r="Q14" i="37"/>
  <c r="R14" i="37"/>
  <c r="S14" i="37"/>
  <c r="T14" i="37"/>
  <c r="U14" i="37"/>
  <c r="V14" i="37"/>
  <c r="W14" i="37"/>
  <c r="X14" i="37"/>
  <c r="Y14" i="37"/>
  <c r="Z14" i="37"/>
  <c r="AA14" i="37"/>
  <c r="P15" i="37"/>
  <c r="Q15" i="37"/>
  <c r="R15" i="37"/>
  <c r="S15" i="37"/>
  <c r="T15" i="37"/>
  <c r="U15" i="37"/>
  <c r="V15" i="37"/>
  <c r="W15" i="37"/>
  <c r="X15" i="37"/>
  <c r="Y15" i="37"/>
  <c r="Z15" i="37"/>
  <c r="AA15" i="37"/>
  <c r="P16" i="37"/>
  <c r="Q16" i="37"/>
  <c r="R16" i="37"/>
  <c r="S16" i="37"/>
  <c r="T16" i="37"/>
  <c r="U16" i="37"/>
  <c r="V16" i="37"/>
  <c r="W16" i="37"/>
  <c r="X16" i="37"/>
  <c r="Y16" i="37"/>
  <c r="Z16" i="37"/>
  <c r="AA16" i="37"/>
  <c r="P17" i="37"/>
  <c r="Q17" i="37"/>
  <c r="R17" i="37"/>
  <c r="S17" i="37"/>
  <c r="T17" i="37"/>
  <c r="U17" i="37"/>
  <c r="V17" i="37"/>
  <c r="W17" i="37"/>
  <c r="X17" i="37"/>
  <c r="Y17" i="37"/>
  <c r="Z17" i="37"/>
  <c r="AA17" i="37"/>
  <c r="P18" i="37"/>
  <c r="Q18" i="37"/>
  <c r="R18" i="37"/>
  <c r="S18" i="37"/>
  <c r="T18" i="37"/>
  <c r="U18" i="37"/>
  <c r="V18" i="37"/>
  <c r="W18" i="37"/>
  <c r="X18" i="37"/>
  <c r="Y18" i="37"/>
  <c r="Z18" i="37"/>
  <c r="AA18" i="37"/>
  <c r="P19" i="37"/>
  <c r="Q19" i="37"/>
  <c r="R19" i="37"/>
  <c r="S19" i="37"/>
  <c r="T19" i="37"/>
  <c r="U19" i="37"/>
  <c r="V19" i="37"/>
  <c r="W19" i="37"/>
  <c r="X19" i="37"/>
  <c r="Y19" i="37"/>
  <c r="Z19" i="37"/>
  <c r="AA19" i="37"/>
  <c r="P20" i="37"/>
  <c r="Q20" i="37"/>
  <c r="R20" i="37"/>
  <c r="S20" i="37"/>
  <c r="T20" i="37"/>
  <c r="U20" i="37"/>
  <c r="V20" i="37"/>
  <c r="W20" i="37"/>
  <c r="X20" i="37"/>
  <c r="Y20" i="37"/>
  <c r="Z20" i="37"/>
  <c r="AA20" i="37"/>
  <c r="P21" i="37"/>
  <c r="Q21" i="37"/>
  <c r="R21" i="37"/>
  <c r="S21" i="37"/>
  <c r="T21" i="37"/>
  <c r="U21" i="37"/>
  <c r="V21" i="37"/>
  <c r="W21" i="37"/>
  <c r="X21" i="37"/>
  <c r="Y21" i="37"/>
  <c r="Z21" i="37"/>
  <c r="AA21" i="37"/>
  <c r="P22" i="37"/>
  <c r="Q22" i="37"/>
  <c r="R22" i="37"/>
  <c r="S22" i="37"/>
  <c r="T22" i="37"/>
  <c r="U22" i="37"/>
  <c r="V22" i="37"/>
  <c r="W22" i="37"/>
  <c r="X22" i="37"/>
  <c r="Y22" i="37"/>
  <c r="Z22" i="37"/>
  <c r="AA22" i="37"/>
  <c r="P23" i="37"/>
  <c r="Q23" i="37"/>
  <c r="R23" i="37"/>
  <c r="S23" i="37"/>
  <c r="T23" i="37"/>
  <c r="U23" i="37"/>
  <c r="V23" i="37"/>
  <c r="W23" i="37"/>
  <c r="X23" i="37"/>
  <c r="Y23" i="37"/>
  <c r="Z23" i="37"/>
  <c r="AA23" i="37"/>
  <c r="P24" i="37"/>
  <c r="Q24" i="37"/>
  <c r="R24" i="37"/>
  <c r="S24" i="37"/>
  <c r="T24" i="37"/>
  <c r="U24" i="37"/>
  <c r="V24" i="37"/>
  <c r="W24" i="37"/>
  <c r="X24" i="37"/>
  <c r="Y24" i="37"/>
  <c r="Z24" i="37"/>
  <c r="AA24" i="37"/>
  <c r="P25" i="37"/>
  <c r="Q25" i="37"/>
  <c r="R25" i="37"/>
  <c r="S25" i="37"/>
  <c r="T25" i="37"/>
  <c r="U25" i="37"/>
  <c r="V25" i="37"/>
  <c r="W25" i="37"/>
  <c r="X25" i="37"/>
  <c r="Y25" i="37"/>
  <c r="Z25" i="37"/>
  <c r="AA25" i="37"/>
  <c r="P26" i="37"/>
  <c r="Q26" i="37"/>
  <c r="R26" i="37"/>
  <c r="S26" i="37"/>
  <c r="T26" i="37"/>
  <c r="U26" i="37"/>
  <c r="V26" i="37"/>
  <c r="W26" i="37"/>
  <c r="X26" i="37"/>
  <c r="Y26" i="37"/>
  <c r="Z26" i="37"/>
  <c r="AA26" i="37"/>
  <c r="P27" i="37"/>
  <c r="Q27" i="37"/>
  <c r="R27" i="37"/>
  <c r="S27" i="37"/>
  <c r="T27" i="37"/>
  <c r="U27" i="37"/>
  <c r="V27" i="37"/>
  <c r="W27" i="37"/>
  <c r="X27" i="37"/>
  <c r="Y27" i="37"/>
  <c r="Z27" i="37"/>
  <c r="AA27" i="37"/>
  <c r="P28" i="37"/>
  <c r="Q28" i="37"/>
  <c r="R28" i="37"/>
  <c r="S28" i="37"/>
  <c r="T28" i="37"/>
  <c r="U28" i="37"/>
  <c r="V28" i="37"/>
  <c r="W28" i="37"/>
  <c r="X28" i="37"/>
  <c r="Y28" i="37"/>
  <c r="Z28" i="37"/>
  <c r="AA28" i="37"/>
  <c r="P29" i="37"/>
  <c r="Q29" i="37"/>
  <c r="R29" i="37"/>
  <c r="S29" i="37"/>
  <c r="T29" i="37"/>
  <c r="U29" i="37"/>
  <c r="V29" i="37"/>
  <c r="W29" i="37"/>
  <c r="X29" i="37"/>
  <c r="Y29" i="37"/>
  <c r="Z29" i="37"/>
  <c r="AA29" i="37"/>
  <c r="P30" i="37"/>
  <c r="Q30" i="37"/>
  <c r="R30" i="37"/>
  <c r="S30" i="37"/>
  <c r="T30" i="37"/>
  <c r="U30" i="37"/>
  <c r="V30" i="37"/>
  <c r="W30" i="37"/>
  <c r="X30" i="37"/>
  <c r="Y30" i="37"/>
  <c r="Z30" i="37"/>
  <c r="AA30" i="37"/>
  <c r="P31" i="37"/>
  <c r="Q31" i="37"/>
  <c r="R31" i="37"/>
  <c r="S31" i="37"/>
  <c r="T176" i="1" s="1"/>
  <c r="T31" i="37"/>
  <c r="T492" i="1" s="1"/>
  <c r="U31" i="37"/>
  <c r="V31" i="37"/>
  <c r="T810" i="1" s="1"/>
  <c r="W31" i="37"/>
  <c r="T887" i="1" s="1"/>
  <c r="X31" i="37"/>
  <c r="T960" i="1" s="1"/>
  <c r="Y31" i="37"/>
  <c r="Z31" i="37"/>
  <c r="AA31" i="37"/>
  <c r="P32" i="37"/>
  <c r="Q32" i="37"/>
  <c r="R32" i="37"/>
  <c r="S32" i="37"/>
  <c r="T32" i="37"/>
  <c r="U32" i="37"/>
  <c r="V32" i="37"/>
  <c r="W32" i="37"/>
  <c r="X32" i="37"/>
  <c r="Y32" i="37"/>
  <c r="Z32" i="37"/>
  <c r="AA32" i="37"/>
  <c r="P33" i="37"/>
  <c r="Q33" i="37"/>
  <c r="R33" i="37"/>
  <c r="S33" i="37"/>
  <c r="T33" i="37"/>
  <c r="U33" i="37"/>
  <c r="V33" i="37"/>
  <c r="W33" i="37"/>
  <c r="X33" i="37"/>
  <c r="Y33" i="37"/>
  <c r="Z33" i="37"/>
  <c r="AA33" i="37"/>
  <c r="P34" i="37"/>
  <c r="Q34" i="37"/>
  <c r="R34" i="37"/>
  <c r="S34" i="37"/>
  <c r="T34" i="37"/>
  <c r="U34" i="37"/>
  <c r="V34" i="37"/>
  <c r="W34" i="37"/>
  <c r="X34" i="37"/>
  <c r="Y34" i="37"/>
  <c r="Z34" i="37"/>
  <c r="AA34" i="37"/>
  <c r="P35" i="37"/>
  <c r="Q35" i="37"/>
  <c r="R35" i="37"/>
  <c r="S35" i="37"/>
  <c r="T177" i="1" s="1"/>
  <c r="T35" i="37"/>
  <c r="T493" i="1" s="1"/>
  <c r="U35" i="37"/>
  <c r="V35" i="37"/>
  <c r="T811" i="1" s="1"/>
  <c r="W35" i="37"/>
  <c r="T888" i="1" s="1"/>
  <c r="X35" i="37"/>
  <c r="T961" i="1" s="1"/>
  <c r="Y35" i="37"/>
  <c r="Z35" i="37"/>
  <c r="AA35" i="37"/>
  <c r="P3" i="35"/>
  <c r="Q3" i="35"/>
  <c r="R3" i="35"/>
  <c r="S3" i="35"/>
  <c r="T3" i="35"/>
  <c r="U3" i="35"/>
  <c r="V3" i="35"/>
  <c r="W3" i="35"/>
  <c r="X3" i="35"/>
  <c r="Y3" i="35"/>
  <c r="Z3" i="35"/>
  <c r="AA3" i="35"/>
  <c r="P4" i="35"/>
  <c r="Q4" i="35"/>
  <c r="R4" i="35"/>
  <c r="S4" i="35"/>
  <c r="T4" i="35"/>
  <c r="U4" i="35"/>
  <c r="V4" i="35"/>
  <c r="W4" i="35"/>
  <c r="X4" i="35"/>
  <c r="Y4" i="35"/>
  <c r="Z4" i="35"/>
  <c r="AA4" i="35"/>
  <c r="P5" i="35"/>
  <c r="Q5" i="35"/>
  <c r="R5" i="35"/>
  <c r="S5" i="35"/>
  <c r="T5" i="35"/>
  <c r="U5" i="35"/>
  <c r="V5" i="35"/>
  <c r="W5" i="35"/>
  <c r="X5" i="35"/>
  <c r="Y5" i="35"/>
  <c r="Z5" i="35"/>
  <c r="AA5" i="35"/>
  <c r="P6" i="35"/>
  <c r="Q6" i="35"/>
  <c r="R6" i="35"/>
  <c r="S6" i="35"/>
  <c r="T6" i="35"/>
  <c r="U6" i="35"/>
  <c r="V6" i="35"/>
  <c r="W6" i="35"/>
  <c r="X6" i="35"/>
  <c r="Y6" i="35"/>
  <c r="Z6" i="35"/>
  <c r="AA6" i="35"/>
  <c r="P7" i="35"/>
  <c r="Q7" i="35"/>
  <c r="R7" i="35"/>
  <c r="S7" i="35"/>
  <c r="T7" i="35"/>
  <c r="U7" i="35"/>
  <c r="V7" i="35"/>
  <c r="W7" i="35"/>
  <c r="X7" i="35"/>
  <c r="Y7" i="35"/>
  <c r="Z7" i="35"/>
  <c r="AA7" i="35"/>
  <c r="P8" i="35"/>
  <c r="Q8" i="35"/>
  <c r="R8" i="35"/>
  <c r="S8" i="35"/>
  <c r="T8" i="35"/>
  <c r="U8" i="35"/>
  <c r="V8" i="35"/>
  <c r="W8" i="35"/>
  <c r="X8" i="35"/>
  <c r="Y8" i="35"/>
  <c r="Z8" i="35"/>
  <c r="AA8" i="35"/>
  <c r="P9" i="35"/>
  <c r="Q9" i="35"/>
  <c r="R9" i="35"/>
  <c r="S9" i="35"/>
  <c r="T9" i="35"/>
  <c r="U9" i="35"/>
  <c r="V9" i="35"/>
  <c r="W9" i="35"/>
  <c r="X9" i="35"/>
  <c r="Y9" i="35"/>
  <c r="Z9" i="35"/>
  <c r="AA9" i="35"/>
  <c r="P10" i="35"/>
  <c r="Q10" i="35"/>
  <c r="R10" i="35"/>
  <c r="S10" i="35"/>
  <c r="T10" i="35"/>
  <c r="U10" i="35"/>
  <c r="V10" i="35"/>
  <c r="W10" i="35"/>
  <c r="X10" i="35"/>
  <c r="Y10" i="35"/>
  <c r="Z10" i="35"/>
  <c r="AA10" i="35"/>
  <c r="P11" i="35"/>
  <c r="Q11" i="35"/>
  <c r="R11" i="35"/>
  <c r="S11" i="35"/>
  <c r="T11" i="35"/>
  <c r="U11" i="35"/>
  <c r="V11" i="35"/>
  <c r="W11" i="35"/>
  <c r="X11" i="35"/>
  <c r="Y11" i="35"/>
  <c r="Z11" i="35"/>
  <c r="AA11" i="35"/>
  <c r="P12" i="35"/>
  <c r="Q12" i="35"/>
  <c r="R12" i="35"/>
  <c r="S12" i="35"/>
  <c r="T12" i="35"/>
  <c r="U12" i="35"/>
  <c r="V12" i="35"/>
  <c r="W12" i="35"/>
  <c r="X12" i="35"/>
  <c r="Y12" i="35"/>
  <c r="Z12" i="35"/>
  <c r="AA12" i="35"/>
  <c r="P13" i="35"/>
  <c r="Q13" i="35"/>
  <c r="R13" i="35"/>
  <c r="S13" i="35"/>
  <c r="T13" i="35"/>
  <c r="U13" i="35"/>
  <c r="V13" i="35"/>
  <c r="W13" i="35"/>
  <c r="X13" i="35"/>
  <c r="Y13" i="35"/>
  <c r="Z13" i="35"/>
  <c r="AA13" i="35"/>
  <c r="P14" i="35"/>
  <c r="Q14" i="35"/>
  <c r="R14" i="35"/>
  <c r="S14" i="35"/>
  <c r="T14" i="35"/>
  <c r="U14" i="35"/>
  <c r="V14" i="35"/>
  <c r="W14" i="35"/>
  <c r="X14" i="35"/>
  <c r="Y14" i="35"/>
  <c r="Z14" i="35"/>
  <c r="AA14" i="35"/>
  <c r="P15" i="35"/>
  <c r="Q15" i="35"/>
  <c r="R15" i="35"/>
  <c r="S15" i="35"/>
  <c r="T15" i="35"/>
  <c r="U15" i="35"/>
  <c r="V15" i="35"/>
  <c r="W15" i="35"/>
  <c r="X15" i="35"/>
  <c r="Y15" i="35"/>
  <c r="Z15" i="35"/>
  <c r="AA15" i="35"/>
  <c r="P16" i="35"/>
  <c r="Q16" i="35"/>
  <c r="R16" i="35"/>
  <c r="S16" i="35"/>
  <c r="T16" i="35"/>
  <c r="U16" i="35"/>
  <c r="V16" i="35"/>
  <c r="W16" i="35"/>
  <c r="X16" i="35"/>
  <c r="Y16" i="35"/>
  <c r="Z16" i="35"/>
  <c r="AA16" i="35"/>
  <c r="P17" i="35"/>
  <c r="Q17" i="35"/>
  <c r="R17" i="35"/>
  <c r="S17" i="35"/>
  <c r="T17" i="35"/>
  <c r="U17" i="35"/>
  <c r="V17" i="35"/>
  <c r="W17" i="35"/>
  <c r="X17" i="35"/>
  <c r="Y17" i="35"/>
  <c r="Z17" i="35"/>
  <c r="AA17" i="35"/>
  <c r="P18" i="35"/>
  <c r="Q18" i="35"/>
  <c r="R18" i="35"/>
  <c r="S18" i="35"/>
  <c r="T18" i="35"/>
  <c r="U18" i="35"/>
  <c r="V18" i="35"/>
  <c r="W18" i="35"/>
  <c r="X18" i="35"/>
  <c r="Y18" i="35"/>
  <c r="Z18" i="35"/>
  <c r="AA18" i="35"/>
  <c r="P19" i="35"/>
  <c r="Q19" i="35"/>
  <c r="R19" i="35"/>
  <c r="S19" i="35"/>
  <c r="T19" i="35"/>
  <c r="U19" i="35"/>
  <c r="V19" i="35"/>
  <c r="W19" i="35"/>
  <c r="X19" i="35"/>
  <c r="Y19" i="35"/>
  <c r="Z19" i="35"/>
  <c r="AA19" i="35"/>
  <c r="P20" i="35"/>
  <c r="Q20" i="35"/>
  <c r="R20" i="35"/>
  <c r="S20" i="35"/>
  <c r="T20" i="35"/>
  <c r="U20" i="35"/>
  <c r="V20" i="35"/>
  <c r="W20" i="35"/>
  <c r="X20" i="35"/>
  <c r="Y20" i="35"/>
  <c r="Z20" i="35"/>
  <c r="AA20" i="35"/>
  <c r="P21" i="35"/>
  <c r="Q21" i="35"/>
  <c r="R21" i="35"/>
  <c r="S21" i="35"/>
  <c r="T21" i="35"/>
  <c r="U21" i="35"/>
  <c r="V21" i="35"/>
  <c r="W21" i="35"/>
  <c r="X21" i="35"/>
  <c r="Y21" i="35"/>
  <c r="Z21" i="35"/>
  <c r="AA21" i="35"/>
  <c r="P22" i="35"/>
  <c r="Q22" i="35"/>
  <c r="R22" i="35"/>
  <c r="S22" i="35"/>
  <c r="T22" i="35"/>
  <c r="U22" i="35"/>
  <c r="V22" i="35"/>
  <c r="W22" i="35"/>
  <c r="X22" i="35"/>
  <c r="Y22" i="35"/>
  <c r="Z22" i="35"/>
  <c r="AA22" i="35"/>
  <c r="P23" i="35"/>
  <c r="Q23" i="35"/>
  <c r="R23" i="35"/>
  <c r="S23" i="35"/>
  <c r="T23" i="35"/>
  <c r="U23" i="35"/>
  <c r="V23" i="35"/>
  <c r="W23" i="35"/>
  <c r="X23" i="35"/>
  <c r="Y23" i="35"/>
  <c r="Z23" i="35"/>
  <c r="AA23" i="35"/>
  <c r="P24" i="35"/>
  <c r="Q24" i="35"/>
  <c r="R24" i="35"/>
  <c r="S24" i="35"/>
  <c r="T24" i="35"/>
  <c r="U24" i="35"/>
  <c r="V24" i="35"/>
  <c r="W24" i="35"/>
  <c r="X24" i="35"/>
  <c r="Y24" i="35"/>
  <c r="Z24" i="35"/>
  <c r="AA24" i="35"/>
  <c r="P25" i="35"/>
  <c r="Q25" i="35"/>
  <c r="R25" i="35"/>
  <c r="S25" i="35"/>
  <c r="T25" i="35"/>
  <c r="U25" i="35"/>
  <c r="V25" i="35"/>
  <c r="W25" i="35"/>
  <c r="X25" i="35"/>
  <c r="Y25" i="35"/>
  <c r="Z25" i="35"/>
  <c r="AA25" i="35"/>
  <c r="P26" i="35"/>
  <c r="Q26" i="35"/>
  <c r="R26" i="35"/>
  <c r="S26" i="35"/>
  <c r="T26" i="35"/>
  <c r="U26" i="35"/>
  <c r="V26" i="35"/>
  <c r="W26" i="35"/>
  <c r="X26" i="35"/>
  <c r="Y26" i="35"/>
  <c r="Z26" i="35"/>
  <c r="AA26" i="35"/>
  <c r="P27" i="35"/>
  <c r="Q27" i="35"/>
  <c r="R27" i="35"/>
  <c r="S27" i="35"/>
  <c r="T27" i="35"/>
  <c r="U27" i="35"/>
  <c r="V27" i="35"/>
  <c r="W27" i="35"/>
  <c r="X27" i="35"/>
  <c r="Y27" i="35"/>
  <c r="Z27" i="35"/>
  <c r="AA27" i="35"/>
  <c r="P28" i="35"/>
  <c r="Q28" i="35"/>
  <c r="R28" i="35"/>
  <c r="S28" i="35"/>
  <c r="T28" i="35"/>
  <c r="U28" i="35"/>
  <c r="V28" i="35"/>
  <c r="W28" i="35"/>
  <c r="X28" i="35"/>
  <c r="Y28" i="35"/>
  <c r="Z28" i="35"/>
  <c r="AA28" i="35"/>
  <c r="P29" i="35"/>
  <c r="Q29" i="35"/>
  <c r="R29" i="35"/>
  <c r="S29" i="35"/>
  <c r="T29" i="35"/>
  <c r="U29" i="35"/>
  <c r="V29" i="35"/>
  <c r="W29" i="35"/>
  <c r="X29" i="35"/>
  <c r="Y29" i="35"/>
  <c r="Z29" i="35"/>
  <c r="AA29" i="35"/>
  <c r="P30" i="35"/>
  <c r="Q30" i="35"/>
  <c r="R30" i="35"/>
  <c r="S30" i="35"/>
  <c r="T30" i="35"/>
  <c r="U30" i="35"/>
  <c r="V30" i="35"/>
  <c r="W30" i="35"/>
  <c r="X30" i="35"/>
  <c r="Y30" i="35"/>
  <c r="Z30" i="35"/>
  <c r="AA30" i="35"/>
  <c r="P31" i="35"/>
  <c r="Q31" i="35"/>
  <c r="R31" i="35"/>
  <c r="S31" i="35"/>
  <c r="S176" i="1" s="1"/>
  <c r="T31" i="35"/>
  <c r="S492" i="1" s="1"/>
  <c r="U31" i="35"/>
  <c r="V31" i="35"/>
  <c r="S810" i="1" s="1"/>
  <c r="W31" i="35"/>
  <c r="S887" i="1" s="1"/>
  <c r="X31" i="35"/>
  <c r="S960" i="1" s="1"/>
  <c r="Y31" i="35"/>
  <c r="Z31" i="35"/>
  <c r="AA31" i="35"/>
  <c r="P32" i="35"/>
  <c r="Q32" i="35"/>
  <c r="R32" i="35"/>
  <c r="S32" i="35"/>
  <c r="T32" i="35"/>
  <c r="U32" i="35"/>
  <c r="V32" i="35"/>
  <c r="W32" i="35"/>
  <c r="X32" i="35"/>
  <c r="Y32" i="35"/>
  <c r="Z32" i="35"/>
  <c r="AA32" i="35"/>
  <c r="P33" i="35"/>
  <c r="Q33" i="35"/>
  <c r="R33" i="35"/>
  <c r="S33" i="35"/>
  <c r="T33" i="35"/>
  <c r="U33" i="35"/>
  <c r="V33" i="35"/>
  <c r="W33" i="35"/>
  <c r="X33" i="35"/>
  <c r="Y33" i="35"/>
  <c r="Z33" i="35"/>
  <c r="AA33" i="35"/>
  <c r="P34" i="35"/>
  <c r="Q34" i="35"/>
  <c r="R34" i="35"/>
  <c r="S34" i="35"/>
  <c r="T34" i="35"/>
  <c r="U34" i="35"/>
  <c r="V34" i="35"/>
  <c r="W34" i="35"/>
  <c r="X34" i="35"/>
  <c r="Y34" i="35"/>
  <c r="Z34" i="35"/>
  <c r="AA34" i="35"/>
  <c r="P35" i="35"/>
  <c r="Q35" i="35"/>
  <c r="R35" i="35"/>
  <c r="S35" i="35"/>
  <c r="S177" i="1" s="1"/>
  <c r="T35" i="35"/>
  <c r="S493" i="1" s="1"/>
  <c r="U35" i="35"/>
  <c r="V35" i="35"/>
  <c r="S811" i="1" s="1"/>
  <c r="W35" i="35"/>
  <c r="S888" i="1" s="1"/>
  <c r="X35" i="35"/>
  <c r="S961" i="1" s="1"/>
  <c r="Y35" i="35"/>
  <c r="Z35" i="35"/>
  <c r="AA35" i="35"/>
  <c r="P3" i="18"/>
  <c r="Q3" i="18"/>
  <c r="R3" i="18"/>
  <c r="S3" i="18"/>
  <c r="T3" i="18"/>
  <c r="U3" i="18"/>
  <c r="V3" i="18"/>
  <c r="W3" i="18"/>
  <c r="X3" i="18"/>
  <c r="Y3" i="18"/>
  <c r="Z3" i="18"/>
  <c r="AA3" i="18"/>
  <c r="P4" i="18"/>
  <c r="Q4" i="18"/>
  <c r="R4" i="18"/>
  <c r="S4" i="18"/>
  <c r="T4" i="18"/>
  <c r="U4" i="18"/>
  <c r="V4" i="18"/>
  <c r="W4" i="18"/>
  <c r="X4" i="18"/>
  <c r="Y4" i="18"/>
  <c r="Z4" i="18"/>
  <c r="AA4" i="18"/>
  <c r="P5" i="18"/>
  <c r="Q5" i="18"/>
  <c r="R5" i="18"/>
  <c r="S5" i="18"/>
  <c r="T5" i="18"/>
  <c r="U5" i="18"/>
  <c r="V5" i="18"/>
  <c r="W5" i="18"/>
  <c r="X5" i="18"/>
  <c r="Y5" i="18"/>
  <c r="Z5" i="18"/>
  <c r="AA5" i="18"/>
  <c r="P6" i="18"/>
  <c r="Q6" i="18"/>
  <c r="R6" i="18"/>
  <c r="S6" i="18"/>
  <c r="T6" i="18"/>
  <c r="U6" i="18"/>
  <c r="V6" i="18"/>
  <c r="W6" i="18"/>
  <c r="X6" i="18"/>
  <c r="Y6" i="18"/>
  <c r="Z6" i="18"/>
  <c r="AA6" i="18"/>
  <c r="P7" i="18"/>
  <c r="Q7" i="18"/>
  <c r="R7" i="18"/>
  <c r="S7" i="18"/>
  <c r="T7" i="18"/>
  <c r="U7" i="18"/>
  <c r="V7" i="18"/>
  <c r="W7" i="18"/>
  <c r="X7" i="18"/>
  <c r="Y7" i="18"/>
  <c r="Z7" i="18"/>
  <c r="AA7" i="18"/>
  <c r="P8" i="18"/>
  <c r="Q8" i="18"/>
  <c r="R8" i="18"/>
  <c r="S8" i="18"/>
  <c r="T8" i="18"/>
  <c r="U8" i="18"/>
  <c r="V8" i="18"/>
  <c r="W8" i="18"/>
  <c r="X8" i="18"/>
  <c r="Y8" i="18"/>
  <c r="Z8" i="18"/>
  <c r="AA8" i="18"/>
  <c r="P9" i="18"/>
  <c r="Q9" i="18"/>
  <c r="R9" i="18"/>
  <c r="S9" i="18"/>
  <c r="T9" i="18"/>
  <c r="U9" i="18"/>
  <c r="V9" i="18"/>
  <c r="W9" i="18"/>
  <c r="X9" i="18"/>
  <c r="Y9" i="18"/>
  <c r="Z9" i="18"/>
  <c r="AA9" i="18"/>
  <c r="P10" i="18"/>
  <c r="Q10" i="18"/>
  <c r="R10" i="18"/>
  <c r="S10" i="18"/>
  <c r="T10" i="18"/>
  <c r="U10" i="18"/>
  <c r="V10" i="18"/>
  <c r="W10" i="18"/>
  <c r="X10" i="18"/>
  <c r="Y10" i="18"/>
  <c r="Z10" i="18"/>
  <c r="AA10" i="18"/>
  <c r="P11" i="18"/>
  <c r="Q11" i="18"/>
  <c r="R11" i="18"/>
  <c r="S11" i="18"/>
  <c r="T11" i="18"/>
  <c r="U11" i="18"/>
  <c r="V11" i="18"/>
  <c r="W11" i="18"/>
  <c r="X11" i="18"/>
  <c r="Y11" i="18"/>
  <c r="Z11" i="18"/>
  <c r="AA11" i="18"/>
  <c r="P12" i="18"/>
  <c r="Q12" i="18"/>
  <c r="R12" i="18"/>
  <c r="S12" i="18"/>
  <c r="T12" i="18"/>
  <c r="U12" i="18"/>
  <c r="V12" i="18"/>
  <c r="W12" i="18"/>
  <c r="X12" i="18"/>
  <c r="Y12" i="18"/>
  <c r="Z12" i="18"/>
  <c r="AA12" i="18"/>
  <c r="P13" i="18"/>
  <c r="Q13" i="18"/>
  <c r="R13" i="18"/>
  <c r="S13" i="18"/>
  <c r="T13" i="18"/>
  <c r="U13" i="18"/>
  <c r="V13" i="18"/>
  <c r="W13" i="18"/>
  <c r="X13" i="18"/>
  <c r="Y13" i="18"/>
  <c r="Z13" i="18"/>
  <c r="AA13" i="18"/>
  <c r="P14" i="18"/>
  <c r="Q14" i="18"/>
  <c r="R14" i="18"/>
  <c r="S14" i="18"/>
  <c r="T14" i="18"/>
  <c r="U14" i="18"/>
  <c r="V14" i="18"/>
  <c r="W14" i="18"/>
  <c r="X14" i="18"/>
  <c r="Y14" i="18"/>
  <c r="Z14" i="18"/>
  <c r="AA14" i="18"/>
  <c r="P15" i="18"/>
  <c r="Q15" i="18"/>
  <c r="R15" i="18"/>
  <c r="S15" i="18"/>
  <c r="T15" i="18"/>
  <c r="U15" i="18"/>
  <c r="V15" i="18"/>
  <c r="W15" i="18"/>
  <c r="X15" i="18"/>
  <c r="Y15" i="18"/>
  <c r="Z15" i="18"/>
  <c r="AA15" i="18"/>
  <c r="P16" i="18"/>
  <c r="Q16" i="18"/>
  <c r="R16" i="18"/>
  <c r="S16" i="18"/>
  <c r="T16" i="18"/>
  <c r="U16" i="18"/>
  <c r="V16" i="18"/>
  <c r="W16" i="18"/>
  <c r="X16" i="18"/>
  <c r="Y16" i="18"/>
  <c r="Z16" i="18"/>
  <c r="AA16" i="18"/>
  <c r="P17" i="18"/>
  <c r="Q17" i="18"/>
  <c r="R17" i="18"/>
  <c r="S17" i="18"/>
  <c r="T17" i="18"/>
  <c r="U17" i="18"/>
  <c r="V17" i="18"/>
  <c r="W17" i="18"/>
  <c r="X17" i="18"/>
  <c r="Y17" i="18"/>
  <c r="Z17" i="18"/>
  <c r="AA17" i="18"/>
  <c r="P18" i="18"/>
  <c r="Q18" i="18"/>
  <c r="R18" i="18"/>
  <c r="S18" i="18"/>
  <c r="T18" i="18"/>
  <c r="U18" i="18"/>
  <c r="V18" i="18"/>
  <c r="W18" i="18"/>
  <c r="X18" i="18"/>
  <c r="Y18" i="18"/>
  <c r="Z18" i="18"/>
  <c r="AA18" i="18"/>
  <c r="P19" i="18"/>
  <c r="Q19" i="18"/>
  <c r="R19" i="18"/>
  <c r="S19" i="18"/>
  <c r="T19" i="18"/>
  <c r="U19" i="18"/>
  <c r="V19" i="18"/>
  <c r="W19" i="18"/>
  <c r="X19" i="18"/>
  <c r="Y19" i="18"/>
  <c r="Z19" i="18"/>
  <c r="AA19" i="18"/>
  <c r="P20" i="18"/>
  <c r="Q20" i="18"/>
  <c r="R20" i="18"/>
  <c r="S20" i="18"/>
  <c r="T20" i="18"/>
  <c r="U20" i="18"/>
  <c r="V20" i="18"/>
  <c r="W20" i="18"/>
  <c r="X20" i="18"/>
  <c r="Y20" i="18"/>
  <c r="Z20" i="18"/>
  <c r="AA20" i="18"/>
  <c r="P21" i="18"/>
  <c r="Q21" i="18"/>
  <c r="R21" i="18"/>
  <c r="S21" i="18"/>
  <c r="T21" i="18"/>
  <c r="U21" i="18"/>
  <c r="V21" i="18"/>
  <c r="W21" i="18"/>
  <c r="X21" i="18"/>
  <c r="Y21" i="18"/>
  <c r="Z21" i="18"/>
  <c r="AA21" i="18"/>
  <c r="P22" i="18"/>
  <c r="Q22" i="18"/>
  <c r="R22" i="18"/>
  <c r="S22" i="18"/>
  <c r="T22" i="18"/>
  <c r="U22" i="18"/>
  <c r="V22" i="18"/>
  <c r="W22" i="18"/>
  <c r="X22" i="18"/>
  <c r="Y22" i="18"/>
  <c r="Z22" i="18"/>
  <c r="AA22" i="18"/>
  <c r="P23" i="18"/>
  <c r="Q23" i="18"/>
  <c r="R23" i="18"/>
  <c r="S23" i="18"/>
  <c r="T23" i="18"/>
  <c r="U23" i="18"/>
  <c r="V23" i="18"/>
  <c r="W23" i="18"/>
  <c r="X23" i="18"/>
  <c r="Y23" i="18"/>
  <c r="Z23" i="18"/>
  <c r="AA23" i="18"/>
  <c r="P24" i="18"/>
  <c r="Q24" i="18"/>
  <c r="R24" i="18"/>
  <c r="S24" i="18"/>
  <c r="T24" i="18"/>
  <c r="U24" i="18"/>
  <c r="V24" i="18"/>
  <c r="W24" i="18"/>
  <c r="X24" i="18"/>
  <c r="Y24" i="18"/>
  <c r="Z24" i="18"/>
  <c r="AA24" i="18"/>
  <c r="P25" i="18"/>
  <c r="Q25" i="18"/>
  <c r="R25" i="18"/>
  <c r="S25" i="18"/>
  <c r="T25" i="18"/>
  <c r="U25" i="18"/>
  <c r="V25" i="18"/>
  <c r="W25" i="18"/>
  <c r="X25" i="18"/>
  <c r="Y25" i="18"/>
  <c r="Z25" i="18"/>
  <c r="AA25" i="18"/>
  <c r="P26" i="18"/>
  <c r="Q26" i="18"/>
  <c r="R26" i="18"/>
  <c r="S26" i="18"/>
  <c r="T26" i="18"/>
  <c r="U26" i="18"/>
  <c r="V26" i="18"/>
  <c r="W26" i="18"/>
  <c r="X26" i="18"/>
  <c r="Y26" i="18"/>
  <c r="Z26" i="18"/>
  <c r="AA26" i="18"/>
  <c r="P27" i="18"/>
  <c r="Q27" i="18"/>
  <c r="R27" i="18"/>
  <c r="S27" i="18"/>
  <c r="T27" i="18"/>
  <c r="U27" i="18"/>
  <c r="V27" i="18"/>
  <c r="W27" i="18"/>
  <c r="X27" i="18"/>
  <c r="Y27" i="18"/>
  <c r="Z27" i="18"/>
  <c r="AA27" i="18"/>
  <c r="P28" i="18"/>
  <c r="Q28" i="18"/>
  <c r="R28" i="18"/>
  <c r="S28" i="18"/>
  <c r="T28" i="18"/>
  <c r="U28" i="18"/>
  <c r="V28" i="18"/>
  <c r="W28" i="18"/>
  <c r="X28" i="18"/>
  <c r="Y28" i="18"/>
  <c r="Z28" i="18"/>
  <c r="AA28" i="18"/>
  <c r="P29" i="18"/>
  <c r="Q29" i="18"/>
  <c r="R29" i="18"/>
  <c r="S29" i="18"/>
  <c r="T29" i="18"/>
  <c r="U29" i="18"/>
  <c r="V29" i="18"/>
  <c r="W29" i="18"/>
  <c r="X29" i="18"/>
  <c r="Y29" i="18"/>
  <c r="Z29" i="18"/>
  <c r="AA29" i="18"/>
  <c r="P30" i="18"/>
  <c r="Q30" i="18"/>
  <c r="R30" i="18"/>
  <c r="S30" i="18"/>
  <c r="T30" i="18"/>
  <c r="U30" i="18"/>
  <c r="V30" i="18"/>
  <c r="W30" i="18"/>
  <c r="X30" i="18"/>
  <c r="Y30" i="18"/>
  <c r="Z30" i="18"/>
  <c r="AA30" i="18"/>
  <c r="P31" i="18"/>
  <c r="Q31" i="18"/>
  <c r="R31" i="18"/>
  <c r="S31" i="18"/>
  <c r="R176" i="1" s="1"/>
  <c r="T31" i="18"/>
  <c r="R492" i="1" s="1"/>
  <c r="U31" i="18"/>
  <c r="V31" i="18"/>
  <c r="R810" i="1" s="1"/>
  <c r="W31" i="18"/>
  <c r="R887" i="1" s="1"/>
  <c r="X31" i="18"/>
  <c r="R960" i="1" s="1"/>
  <c r="Y31" i="18"/>
  <c r="Z31" i="18"/>
  <c r="AA31" i="18"/>
  <c r="P32" i="18"/>
  <c r="Q32" i="18"/>
  <c r="R32" i="18"/>
  <c r="S32" i="18"/>
  <c r="T32" i="18"/>
  <c r="U32" i="18"/>
  <c r="V32" i="18"/>
  <c r="W32" i="18"/>
  <c r="X32" i="18"/>
  <c r="Y32" i="18"/>
  <c r="Z32" i="18"/>
  <c r="AA32" i="18"/>
  <c r="P33" i="18"/>
  <c r="Q33" i="18"/>
  <c r="R33" i="18"/>
  <c r="S33" i="18"/>
  <c r="T33" i="18"/>
  <c r="U33" i="18"/>
  <c r="V33" i="18"/>
  <c r="W33" i="18"/>
  <c r="X33" i="18"/>
  <c r="Y33" i="18"/>
  <c r="Z33" i="18"/>
  <c r="AA33" i="18"/>
  <c r="P34" i="18"/>
  <c r="Q34" i="18"/>
  <c r="R34" i="18"/>
  <c r="S34" i="18"/>
  <c r="T34" i="18"/>
  <c r="U34" i="18"/>
  <c r="V34" i="18"/>
  <c r="W34" i="18"/>
  <c r="X34" i="18"/>
  <c r="Y34" i="18"/>
  <c r="Z34" i="18"/>
  <c r="AA34" i="18"/>
  <c r="P35" i="18"/>
  <c r="Q35" i="18"/>
  <c r="R35" i="18"/>
  <c r="S35" i="18"/>
  <c r="R177" i="1" s="1"/>
  <c r="T35" i="18"/>
  <c r="R493" i="1" s="1"/>
  <c r="U35" i="18"/>
  <c r="V35" i="18"/>
  <c r="R811" i="1" s="1"/>
  <c r="W35" i="18"/>
  <c r="R888" i="1" s="1"/>
  <c r="X35" i="18"/>
  <c r="R961" i="1" s="1"/>
  <c r="Y35" i="18"/>
  <c r="Z35" i="18"/>
  <c r="AA35" i="18"/>
  <c r="P3" i="11"/>
  <c r="Q3" i="11"/>
  <c r="R3" i="11"/>
  <c r="S3" i="11"/>
  <c r="T3" i="11"/>
  <c r="U3" i="11"/>
  <c r="V3" i="11"/>
  <c r="W3" i="11"/>
  <c r="X3" i="11"/>
  <c r="Y3" i="11"/>
  <c r="Z3" i="11"/>
  <c r="AA3" i="11"/>
  <c r="P4" i="11"/>
  <c r="Q4" i="11"/>
  <c r="R4" i="11"/>
  <c r="S4" i="11"/>
  <c r="T4" i="11"/>
  <c r="U4" i="11"/>
  <c r="V4" i="11"/>
  <c r="W4" i="11"/>
  <c r="X4" i="11"/>
  <c r="Y4" i="11"/>
  <c r="Z4" i="11"/>
  <c r="AA4" i="11"/>
  <c r="P5" i="11"/>
  <c r="Q5" i="11"/>
  <c r="R5" i="11"/>
  <c r="S5" i="11"/>
  <c r="T5" i="11"/>
  <c r="U5" i="11"/>
  <c r="V5" i="11"/>
  <c r="W5" i="11"/>
  <c r="X5" i="11"/>
  <c r="Y5" i="11"/>
  <c r="Z5" i="11"/>
  <c r="AA5" i="11"/>
  <c r="P6" i="11"/>
  <c r="Q6" i="11"/>
  <c r="R6" i="11"/>
  <c r="S6" i="11"/>
  <c r="T6" i="11"/>
  <c r="U6" i="11"/>
  <c r="V6" i="11"/>
  <c r="W6" i="11"/>
  <c r="X6" i="11"/>
  <c r="Y6" i="11"/>
  <c r="Z6" i="11"/>
  <c r="AA6" i="11"/>
  <c r="P7" i="11"/>
  <c r="Q7" i="11"/>
  <c r="R7" i="11"/>
  <c r="S7" i="11"/>
  <c r="T7" i="11"/>
  <c r="U7" i="11"/>
  <c r="V7" i="11"/>
  <c r="W7" i="11"/>
  <c r="X7" i="11"/>
  <c r="Y7" i="11"/>
  <c r="Z7" i="11"/>
  <c r="AA7" i="11"/>
  <c r="P8" i="11"/>
  <c r="Q8" i="11"/>
  <c r="R8" i="11"/>
  <c r="S8" i="11"/>
  <c r="T8" i="11"/>
  <c r="U8" i="11"/>
  <c r="V8" i="11"/>
  <c r="W8" i="11"/>
  <c r="X8" i="11"/>
  <c r="Y8" i="11"/>
  <c r="Z8" i="11"/>
  <c r="AA8" i="11"/>
  <c r="P9" i="11"/>
  <c r="Q9" i="11"/>
  <c r="R9" i="11"/>
  <c r="S9" i="11"/>
  <c r="T9" i="11"/>
  <c r="U9" i="11"/>
  <c r="V9" i="11"/>
  <c r="W9" i="11"/>
  <c r="X9" i="11"/>
  <c r="Y9" i="11"/>
  <c r="Z9" i="11"/>
  <c r="AA9" i="11"/>
  <c r="P10" i="11"/>
  <c r="Q10" i="11"/>
  <c r="R10" i="11"/>
  <c r="S10" i="11"/>
  <c r="T10" i="11"/>
  <c r="U10" i="11"/>
  <c r="V10" i="11"/>
  <c r="W10" i="11"/>
  <c r="X10" i="11"/>
  <c r="Y10" i="11"/>
  <c r="Z10" i="11"/>
  <c r="AA10" i="11"/>
  <c r="P11" i="11"/>
  <c r="Q11" i="11"/>
  <c r="R11" i="11"/>
  <c r="S11" i="11"/>
  <c r="T11" i="11"/>
  <c r="U11" i="11"/>
  <c r="V11" i="11"/>
  <c r="W11" i="11"/>
  <c r="X11" i="11"/>
  <c r="Y11" i="11"/>
  <c r="Z11" i="11"/>
  <c r="AA11" i="11"/>
  <c r="P12" i="11"/>
  <c r="Q12" i="11"/>
  <c r="R12" i="11"/>
  <c r="S12" i="11"/>
  <c r="T12" i="11"/>
  <c r="U12" i="11"/>
  <c r="V12" i="11"/>
  <c r="W12" i="11"/>
  <c r="X12" i="11"/>
  <c r="Y12" i="11"/>
  <c r="Z12" i="11"/>
  <c r="AA12" i="11"/>
  <c r="P13" i="11"/>
  <c r="Q13" i="11"/>
  <c r="R13" i="11"/>
  <c r="S13" i="11"/>
  <c r="T13" i="11"/>
  <c r="U13" i="11"/>
  <c r="V13" i="11"/>
  <c r="W13" i="11"/>
  <c r="X13" i="11"/>
  <c r="Y13" i="11"/>
  <c r="Z13" i="11"/>
  <c r="AA13" i="11"/>
  <c r="P14" i="11"/>
  <c r="Q14" i="11"/>
  <c r="R14" i="11"/>
  <c r="S14" i="11"/>
  <c r="T14" i="11"/>
  <c r="U14" i="11"/>
  <c r="V14" i="11"/>
  <c r="W14" i="11"/>
  <c r="X14" i="11"/>
  <c r="Y14" i="11"/>
  <c r="Z14" i="11"/>
  <c r="AA14" i="11"/>
  <c r="P15" i="11"/>
  <c r="Q15" i="11"/>
  <c r="R15" i="11"/>
  <c r="S15" i="11"/>
  <c r="T15" i="11"/>
  <c r="U15" i="11"/>
  <c r="V15" i="11"/>
  <c r="W15" i="11"/>
  <c r="X15" i="11"/>
  <c r="Y15" i="11"/>
  <c r="Z15" i="11"/>
  <c r="AA15" i="11"/>
  <c r="P16" i="11"/>
  <c r="Q16" i="11"/>
  <c r="R16" i="11"/>
  <c r="S16" i="11"/>
  <c r="T16" i="11"/>
  <c r="U16" i="11"/>
  <c r="V16" i="11"/>
  <c r="W16" i="11"/>
  <c r="X16" i="11"/>
  <c r="Y16" i="11"/>
  <c r="Z16" i="11"/>
  <c r="AA16" i="11"/>
  <c r="P17" i="11"/>
  <c r="Q17" i="11"/>
  <c r="R17" i="11"/>
  <c r="S17" i="11"/>
  <c r="T17" i="11"/>
  <c r="U17" i="11"/>
  <c r="V17" i="11"/>
  <c r="W17" i="11"/>
  <c r="X17" i="11"/>
  <c r="Y17" i="11"/>
  <c r="Z17" i="11"/>
  <c r="AA17" i="11"/>
  <c r="P18" i="11"/>
  <c r="Q18" i="11"/>
  <c r="R18" i="11"/>
  <c r="S18" i="11"/>
  <c r="T18" i="11"/>
  <c r="U18" i="11"/>
  <c r="V18" i="11"/>
  <c r="W18" i="11"/>
  <c r="X18" i="11"/>
  <c r="Y18" i="11"/>
  <c r="Z18" i="11"/>
  <c r="AA18" i="11"/>
  <c r="P19" i="11"/>
  <c r="Q19" i="11"/>
  <c r="R19" i="11"/>
  <c r="S19" i="11"/>
  <c r="T19" i="11"/>
  <c r="U19" i="11"/>
  <c r="V19" i="11"/>
  <c r="W19" i="11"/>
  <c r="X19" i="11"/>
  <c r="Y19" i="11"/>
  <c r="Z19" i="11"/>
  <c r="AA19" i="11"/>
  <c r="P20" i="11"/>
  <c r="Q20" i="11"/>
  <c r="R20" i="11"/>
  <c r="S20" i="11"/>
  <c r="T20" i="11"/>
  <c r="U20" i="11"/>
  <c r="V20" i="11"/>
  <c r="W20" i="11"/>
  <c r="X20" i="11"/>
  <c r="Y20" i="11"/>
  <c r="Z20" i="11"/>
  <c r="AA20" i="11"/>
  <c r="P21" i="11"/>
  <c r="Q21" i="11"/>
  <c r="R21" i="11"/>
  <c r="S21" i="11"/>
  <c r="T21" i="11"/>
  <c r="U21" i="11"/>
  <c r="V21" i="11"/>
  <c r="W21" i="11"/>
  <c r="X21" i="11"/>
  <c r="Y21" i="11"/>
  <c r="Z21" i="11"/>
  <c r="AA21" i="11"/>
  <c r="P22" i="11"/>
  <c r="Q22" i="11"/>
  <c r="R22" i="11"/>
  <c r="S22" i="11"/>
  <c r="T22" i="11"/>
  <c r="U22" i="11"/>
  <c r="V22" i="11"/>
  <c r="W22" i="11"/>
  <c r="X22" i="11"/>
  <c r="Y22" i="11"/>
  <c r="Z22" i="11"/>
  <c r="AA22" i="11"/>
  <c r="P23" i="11"/>
  <c r="Q23" i="11"/>
  <c r="R23" i="11"/>
  <c r="S23" i="11"/>
  <c r="T23" i="11"/>
  <c r="U23" i="11"/>
  <c r="V23" i="11"/>
  <c r="W23" i="11"/>
  <c r="X23" i="11"/>
  <c r="Y23" i="11"/>
  <c r="Z23" i="11"/>
  <c r="AA23" i="11"/>
  <c r="P24" i="11"/>
  <c r="Q24" i="11"/>
  <c r="R24" i="11"/>
  <c r="S24" i="11"/>
  <c r="T24" i="11"/>
  <c r="U24" i="11"/>
  <c r="V24" i="11"/>
  <c r="W24" i="11"/>
  <c r="X24" i="11"/>
  <c r="Y24" i="11"/>
  <c r="Z24" i="11"/>
  <c r="AA24" i="11"/>
  <c r="P25" i="11"/>
  <c r="Q25" i="11"/>
  <c r="R25" i="11"/>
  <c r="S25" i="11"/>
  <c r="T25" i="11"/>
  <c r="U25" i="11"/>
  <c r="V25" i="11"/>
  <c r="W25" i="11"/>
  <c r="X25" i="11"/>
  <c r="Y25" i="11"/>
  <c r="Z25" i="11"/>
  <c r="AA25" i="11"/>
  <c r="P26" i="11"/>
  <c r="Q26" i="11"/>
  <c r="R26" i="11"/>
  <c r="S26" i="11"/>
  <c r="T26" i="11"/>
  <c r="U26" i="11"/>
  <c r="V26" i="11"/>
  <c r="W26" i="11"/>
  <c r="X26" i="11"/>
  <c r="Y26" i="11"/>
  <c r="Z26" i="11"/>
  <c r="AA26" i="11"/>
  <c r="P27" i="11"/>
  <c r="Q27" i="11"/>
  <c r="R27" i="11"/>
  <c r="S27" i="11"/>
  <c r="T27" i="11"/>
  <c r="U27" i="11"/>
  <c r="V27" i="11"/>
  <c r="W27" i="11"/>
  <c r="X27" i="11"/>
  <c r="Y27" i="11"/>
  <c r="Z27" i="11"/>
  <c r="AA27" i="11"/>
  <c r="P28" i="11"/>
  <c r="Q28" i="11"/>
  <c r="R28" i="11"/>
  <c r="S28" i="11"/>
  <c r="T28" i="11"/>
  <c r="U28" i="11"/>
  <c r="V28" i="11"/>
  <c r="W28" i="11"/>
  <c r="X28" i="11"/>
  <c r="Y28" i="11"/>
  <c r="Z28" i="11"/>
  <c r="AA28" i="11"/>
  <c r="P29" i="11"/>
  <c r="Q29" i="11"/>
  <c r="R29" i="11"/>
  <c r="S29" i="11"/>
  <c r="T29" i="11"/>
  <c r="U29" i="11"/>
  <c r="V29" i="11"/>
  <c r="W29" i="11"/>
  <c r="X29" i="11"/>
  <c r="Y29" i="11"/>
  <c r="Z29" i="11"/>
  <c r="AA29" i="11"/>
  <c r="P30" i="11"/>
  <c r="Q30" i="11"/>
  <c r="R30" i="11"/>
  <c r="S30" i="11"/>
  <c r="T30" i="11"/>
  <c r="U30" i="11"/>
  <c r="V30" i="11"/>
  <c r="W30" i="11"/>
  <c r="X30" i="11"/>
  <c r="Y30" i="11"/>
  <c r="Z30" i="11"/>
  <c r="AA30" i="11"/>
  <c r="P31" i="11"/>
  <c r="Q31" i="11"/>
  <c r="R31" i="11"/>
  <c r="S31" i="11"/>
  <c r="Q176" i="1" s="1"/>
  <c r="T31" i="11"/>
  <c r="Q492" i="1" s="1"/>
  <c r="U31" i="11"/>
  <c r="V31" i="11"/>
  <c r="Q810" i="1" s="1"/>
  <c r="W31" i="11"/>
  <c r="Q887" i="1" s="1"/>
  <c r="X31" i="11"/>
  <c r="Q960" i="1" s="1"/>
  <c r="Y31" i="11"/>
  <c r="Z31" i="11"/>
  <c r="AA31" i="11"/>
  <c r="P32" i="11"/>
  <c r="Q32" i="11"/>
  <c r="R32" i="11"/>
  <c r="S32" i="11"/>
  <c r="T32" i="11"/>
  <c r="U32" i="11"/>
  <c r="V32" i="11"/>
  <c r="W32" i="11"/>
  <c r="X32" i="11"/>
  <c r="Y32" i="11"/>
  <c r="Z32" i="11"/>
  <c r="AA32" i="11"/>
  <c r="P33" i="11"/>
  <c r="Q33" i="11"/>
  <c r="R33" i="11"/>
  <c r="S33" i="11"/>
  <c r="T33" i="11"/>
  <c r="U33" i="11"/>
  <c r="V33" i="11"/>
  <c r="W33" i="11"/>
  <c r="X33" i="11"/>
  <c r="Y33" i="11"/>
  <c r="Z33" i="11"/>
  <c r="AA33" i="11"/>
  <c r="P34" i="11"/>
  <c r="Q34" i="11"/>
  <c r="R34" i="11"/>
  <c r="S34" i="11"/>
  <c r="T34" i="11"/>
  <c r="U34" i="11"/>
  <c r="V34" i="11"/>
  <c r="W34" i="11"/>
  <c r="X34" i="11"/>
  <c r="Y34" i="11"/>
  <c r="Z34" i="11"/>
  <c r="AA34" i="11"/>
  <c r="P35" i="11"/>
  <c r="Q35" i="11"/>
  <c r="R35" i="11"/>
  <c r="S35" i="11"/>
  <c r="Q177" i="1" s="1"/>
  <c r="T35" i="11"/>
  <c r="Q493" i="1" s="1"/>
  <c r="U35" i="11"/>
  <c r="V35" i="11"/>
  <c r="Q811" i="1" s="1"/>
  <c r="W35" i="11"/>
  <c r="Q888" i="1" s="1"/>
  <c r="X35" i="11"/>
  <c r="Q961" i="1" s="1"/>
  <c r="Y35" i="11"/>
  <c r="Z35" i="11"/>
  <c r="AA35" i="11"/>
  <c r="P3" i="12"/>
  <c r="Q3" i="12"/>
  <c r="R3" i="12"/>
  <c r="S3" i="12"/>
  <c r="T3" i="12"/>
  <c r="U3" i="12"/>
  <c r="V3" i="12"/>
  <c r="W3" i="12"/>
  <c r="X3" i="12"/>
  <c r="Y3" i="12"/>
  <c r="Z3" i="12"/>
  <c r="AA3" i="12"/>
  <c r="P4" i="12"/>
  <c r="Q4" i="12"/>
  <c r="R4" i="12"/>
  <c r="S4" i="12"/>
  <c r="T4" i="12"/>
  <c r="U4" i="12"/>
  <c r="V4" i="12"/>
  <c r="W4" i="12"/>
  <c r="X4" i="12"/>
  <c r="Y4" i="12"/>
  <c r="Z4" i="12"/>
  <c r="AA4" i="12"/>
  <c r="P5" i="12"/>
  <c r="Q5" i="12"/>
  <c r="R5" i="12"/>
  <c r="S5" i="12"/>
  <c r="T5" i="12"/>
  <c r="U5" i="12"/>
  <c r="V5" i="12"/>
  <c r="W5" i="12"/>
  <c r="X5" i="12"/>
  <c r="Y5" i="12"/>
  <c r="Z5" i="12"/>
  <c r="AA5" i="12"/>
  <c r="P6" i="12"/>
  <c r="Q6" i="12"/>
  <c r="R6" i="12"/>
  <c r="S6" i="12"/>
  <c r="T6" i="12"/>
  <c r="U6" i="12"/>
  <c r="V6" i="12"/>
  <c r="W6" i="12"/>
  <c r="X6" i="12"/>
  <c r="Y6" i="12"/>
  <c r="Z6" i="12"/>
  <c r="AA6" i="12"/>
  <c r="P7" i="12"/>
  <c r="Q7" i="12"/>
  <c r="R7" i="12"/>
  <c r="S7" i="12"/>
  <c r="T7" i="12"/>
  <c r="U7" i="12"/>
  <c r="V7" i="12"/>
  <c r="W7" i="12"/>
  <c r="X7" i="12"/>
  <c r="Y7" i="12"/>
  <c r="Z7" i="12"/>
  <c r="AA7" i="12"/>
  <c r="P8" i="12"/>
  <c r="Q8" i="12"/>
  <c r="R8" i="12"/>
  <c r="S8" i="12"/>
  <c r="T8" i="12"/>
  <c r="U8" i="12"/>
  <c r="V8" i="12"/>
  <c r="W8" i="12"/>
  <c r="X8" i="12"/>
  <c r="Y8" i="12"/>
  <c r="Z8" i="12"/>
  <c r="AA8" i="12"/>
  <c r="P9" i="12"/>
  <c r="Q9" i="12"/>
  <c r="R9" i="12"/>
  <c r="S9" i="12"/>
  <c r="T9" i="12"/>
  <c r="U9" i="12"/>
  <c r="V9" i="12"/>
  <c r="W9" i="12"/>
  <c r="X9" i="12"/>
  <c r="Y9" i="12"/>
  <c r="Z9" i="12"/>
  <c r="AA9" i="12"/>
  <c r="P10" i="12"/>
  <c r="Q10" i="12"/>
  <c r="R10" i="12"/>
  <c r="S10" i="12"/>
  <c r="T10" i="12"/>
  <c r="U10" i="12"/>
  <c r="V10" i="12"/>
  <c r="W10" i="12"/>
  <c r="X10" i="12"/>
  <c r="Y10" i="12"/>
  <c r="Z10" i="12"/>
  <c r="AA10" i="12"/>
  <c r="P11" i="12"/>
  <c r="Q11" i="12"/>
  <c r="R11" i="12"/>
  <c r="S11" i="12"/>
  <c r="T11" i="12"/>
  <c r="U11" i="12"/>
  <c r="V11" i="12"/>
  <c r="W11" i="12"/>
  <c r="X11" i="12"/>
  <c r="Y11" i="12"/>
  <c r="Z11" i="12"/>
  <c r="AA11" i="12"/>
  <c r="P12" i="12"/>
  <c r="Q12" i="12"/>
  <c r="R12" i="12"/>
  <c r="S12" i="12"/>
  <c r="T12" i="12"/>
  <c r="U12" i="12"/>
  <c r="V12" i="12"/>
  <c r="W12" i="12"/>
  <c r="X12" i="12"/>
  <c r="Y12" i="12"/>
  <c r="Z12" i="12"/>
  <c r="AA12" i="12"/>
  <c r="P13" i="12"/>
  <c r="Q13" i="12"/>
  <c r="R13" i="12"/>
  <c r="S13" i="12"/>
  <c r="T13" i="12"/>
  <c r="U13" i="12"/>
  <c r="V13" i="12"/>
  <c r="W13" i="12"/>
  <c r="X13" i="12"/>
  <c r="Y13" i="12"/>
  <c r="Z13" i="12"/>
  <c r="AA13" i="12"/>
  <c r="P14" i="12"/>
  <c r="Q14" i="12"/>
  <c r="R14" i="12"/>
  <c r="S14" i="12"/>
  <c r="T14" i="12"/>
  <c r="U14" i="12"/>
  <c r="V14" i="12"/>
  <c r="W14" i="12"/>
  <c r="X14" i="12"/>
  <c r="Y14" i="12"/>
  <c r="Z14" i="12"/>
  <c r="AA14" i="12"/>
  <c r="P15" i="12"/>
  <c r="Q15" i="12"/>
  <c r="R15" i="12"/>
  <c r="S15" i="12"/>
  <c r="T15" i="12"/>
  <c r="U15" i="12"/>
  <c r="V15" i="12"/>
  <c r="W15" i="12"/>
  <c r="X15" i="12"/>
  <c r="Y15" i="12"/>
  <c r="Z15" i="12"/>
  <c r="AA15" i="12"/>
  <c r="P16" i="12"/>
  <c r="Q16" i="12"/>
  <c r="R16" i="12"/>
  <c r="S16" i="12"/>
  <c r="T16" i="12"/>
  <c r="U16" i="12"/>
  <c r="V16" i="12"/>
  <c r="W16" i="12"/>
  <c r="X16" i="12"/>
  <c r="Y16" i="12"/>
  <c r="Z16" i="12"/>
  <c r="AA16" i="12"/>
  <c r="P17" i="12"/>
  <c r="Q17" i="12"/>
  <c r="R17" i="12"/>
  <c r="S17" i="12"/>
  <c r="T17" i="12"/>
  <c r="U17" i="12"/>
  <c r="V17" i="12"/>
  <c r="W17" i="12"/>
  <c r="X17" i="12"/>
  <c r="Y17" i="12"/>
  <c r="Z17" i="12"/>
  <c r="AA17" i="12"/>
  <c r="P18" i="12"/>
  <c r="Q18" i="12"/>
  <c r="R18" i="12"/>
  <c r="S18" i="12"/>
  <c r="T18" i="12"/>
  <c r="U18" i="12"/>
  <c r="V18" i="12"/>
  <c r="W18" i="12"/>
  <c r="X18" i="12"/>
  <c r="Y18" i="12"/>
  <c r="Z18" i="12"/>
  <c r="AA18" i="12"/>
  <c r="P19" i="12"/>
  <c r="Q19" i="12"/>
  <c r="R19" i="12"/>
  <c r="S19" i="12"/>
  <c r="T19" i="12"/>
  <c r="U19" i="12"/>
  <c r="V19" i="12"/>
  <c r="W19" i="12"/>
  <c r="X19" i="12"/>
  <c r="Y19" i="12"/>
  <c r="Z19" i="12"/>
  <c r="AA19" i="12"/>
  <c r="P20" i="12"/>
  <c r="Q20" i="12"/>
  <c r="R20" i="12"/>
  <c r="S20" i="12"/>
  <c r="T20" i="12"/>
  <c r="U20" i="12"/>
  <c r="V20" i="12"/>
  <c r="W20" i="12"/>
  <c r="X20" i="12"/>
  <c r="Y20" i="12"/>
  <c r="Z20" i="12"/>
  <c r="AA20" i="12"/>
  <c r="P21" i="12"/>
  <c r="Q21" i="12"/>
  <c r="R21" i="12"/>
  <c r="S21" i="12"/>
  <c r="T21" i="12"/>
  <c r="U21" i="12"/>
  <c r="V21" i="12"/>
  <c r="W21" i="12"/>
  <c r="X21" i="12"/>
  <c r="Y21" i="12"/>
  <c r="Z21" i="12"/>
  <c r="AA21" i="12"/>
  <c r="P22" i="12"/>
  <c r="Q22" i="12"/>
  <c r="R22" i="12"/>
  <c r="S22" i="12"/>
  <c r="T22" i="12"/>
  <c r="U22" i="12"/>
  <c r="V22" i="12"/>
  <c r="W22" i="12"/>
  <c r="X22" i="12"/>
  <c r="Y22" i="12"/>
  <c r="Z22" i="12"/>
  <c r="AA22" i="12"/>
  <c r="P23" i="12"/>
  <c r="Q23" i="12"/>
  <c r="R23" i="12"/>
  <c r="S23" i="12"/>
  <c r="T23" i="12"/>
  <c r="U23" i="12"/>
  <c r="V23" i="12"/>
  <c r="W23" i="12"/>
  <c r="X23" i="12"/>
  <c r="Y23" i="12"/>
  <c r="Z23" i="12"/>
  <c r="AA23" i="12"/>
  <c r="P24" i="12"/>
  <c r="Q24" i="12"/>
  <c r="R24" i="12"/>
  <c r="S24" i="12"/>
  <c r="T24" i="12"/>
  <c r="U24" i="12"/>
  <c r="V24" i="12"/>
  <c r="W24" i="12"/>
  <c r="X24" i="12"/>
  <c r="Y24" i="12"/>
  <c r="Z24" i="12"/>
  <c r="AA24" i="12"/>
  <c r="P25" i="12"/>
  <c r="Q25" i="12"/>
  <c r="R25" i="12"/>
  <c r="S25" i="12"/>
  <c r="T25" i="12"/>
  <c r="U25" i="12"/>
  <c r="V25" i="12"/>
  <c r="W25" i="12"/>
  <c r="X25" i="12"/>
  <c r="Y25" i="12"/>
  <c r="Z25" i="12"/>
  <c r="AA25" i="12"/>
  <c r="P26" i="12"/>
  <c r="Q26" i="12"/>
  <c r="R26" i="12"/>
  <c r="S26" i="12"/>
  <c r="T26" i="12"/>
  <c r="U26" i="12"/>
  <c r="V26" i="12"/>
  <c r="W26" i="12"/>
  <c r="X26" i="12"/>
  <c r="Y26" i="12"/>
  <c r="Z26" i="12"/>
  <c r="AA26" i="12"/>
  <c r="P27" i="12"/>
  <c r="Q27" i="12"/>
  <c r="R27" i="12"/>
  <c r="S27" i="12"/>
  <c r="T27" i="12"/>
  <c r="U27" i="12"/>
  <c r="V27" i="12"/>
  <c r="W27" i="12"/>
  <c r="X27" i="12"/>
  <c r="Y27" i="12"/>
  <c r="Z27" i="12"/>
  <c r="AA27" i="12"/>
  <c r="P28" i="12"/>
  <c r="Q28" i="12"/>
  <c r="R28" i="12"/>
  <c r="S28" i="12"/>
  <c r="T28" i="12"/>
  <c r="U28" i="12"/>
  <c r="V28" i="12"/>
  <c r="W28" i="12"/>
  <c r="X28" i="12"/>
  <c r="Y28" i="12"/>
  <c r="Z28" i="12"/>
  <c r="AA28" i="12"/>
  <c r="P29" i="12"/>
  <c r="Q29" i="12"/>
  <c r="R29" i="12"/>
  <c r="S29" i="12"/>
  <c r="T29" i="12"/>
  <c r="U29" i="12"/>
  <c r="V29" i="12"/>
  <c r="W29" i="12"/>
  <c r="X29" i="12"/>
  <c r="Y29" i="12"/>
  <c r="Z29" i="12"/>
  <c r="AA29" i="12"/>
  <c r="P30" i="12"/>
  <c r="Q30" i="12"/>
  <c r="R30" i="12"/>
  <c r="S30" i="12"/>
  <c r="T30" i="12"/>
  <c r="U30" i="12"/>
  <c r="V30" i="12"/>
  <c r="W30" i="12"/>
  <c r="X30" i="12"/>
  <c r="Y30" i="12"/>
  <c r="Z30" i="12"/>
  <c r="AA30" i="12"/>
  <c r="P31" i="12"/>
  <c r="Q31" i="12"/>
  <c r="R31" i="12"/>
  <c r="S31" i="12"/>
  <c r="P176" i="1" s="1"/>
  <c r="T31" i="12"/>
  <c r="P492" i="1" s="1"/>
  <c r="U31" i="12"/>
  <c r="V31" i="12"/>
  <c r="P810" i="1" s="1"/>
  <c r="W31" i="12"/>
  <c r="P887" i="1" s="1"/>
  <c r="X31" i="12"/>
  <c r="P960" i="1" s="1"/>
  <c r="Y31" i="12"/>
  <c r="Z31" i="12"/>
  <c r="AA31" i="12"/>
  <c r="P32" i="12"/>
  <c r="Q32" i="12"/>
  <c r="R32" i="12"/>
  <c r="S32" i="12"/>
  <c r="T32" i="12"/>
  <c r="U32" i="12"/>
  <c r="V32" i="12"/>
  <c r="W32" i="12"/>
  <c r="X32" i="12"/>
  <c r="Y32" i="12"/>
  <c r="Z32" i="12"/>
  <c r="AA32" i="12"/>
  <c r="P33" i="12"/>
  <c r="Q33" i="12"/>
  <c r="R33" i="12"/>
  <c r="S33" i="12"/>
  <c r="T33" i="12"/>
  <c r="U33" i="12"/>
  <c r="V33" i="12"/>
  <c r="W33" i="12"/>
  <c r="X33" i="12"/>
  <c r="Y33" i="12"/>
  <c r="Z33" i="12"/>
  <c r="AA33" i="12"/>
  <c r="P34" i="12"/>
  <c r="Q34" i="12"/>
  <c r="R34" i="12"/>
  <c r="S34" i="12"/>
  <c r="T34" i="12"/>
  <c r="U34" i="12"/>
  <c r="V34" i="12"/>
  <c r="W34" i="12"/>
  <c r="X34" i="12"/>
  <c r="Y34" i="12"/>
  <c r="Z34" i="12"/>
  <c r="AA34" i="12"/>
  <c r="P35" i="12"/>
  <c r="Q35" i="12"/>
  <c r="R35" i="12"/>
  <c r="S35" i="12"/>
  <c r="P177" i="1" s="1"/>
  <c r="T35" i="12"/>
  <c r="P493" i="1" s="1"/>
  <c r="U35" i="12"/>
  <c r="V35" i="12"/>
  <c r="P811" i="1" s="1"/>
  <c r="W35" i="12"/>
  <c r="P888" i="1" s="1"/>
  <c r="X35" i="12"/>
  <c r="P961" i="1" s="1"/>
  <c r="Y35" i="12"/>
  <c r="Z35" i="12"/>
  <c r="AA35" i="12"/>
  <c r="P3" i="13"/>
  <c r="Q3" i="13"/>
  <c r="R3" i="13"/>
  <c r="S3" i="13"/>
  <c r="T3" i="13"/>
  <c r="U3" i="13"/>
  <c r="V3" i="13"/>
  <c r="W3" i="13"/>
  <c r="X3" i="13"/>
  <c r="Y3" i="13"/>
  <c r="Z3" i="13"/>
  <c r="AA3" i="13"/>
  <c r="P4" i="13"/>
  <c r="Q4" i="13"/>
  <c r="R4" i="13"/>
  <c r="S4" i="13"/>
  <c r="T4" i="13"/>
  <c r="U4" i="13"/>
  <c r="V4" i="13"/>
  <c r="W4" i="13"/>
  <c r="X4" i="13"/>
  <c r="Y4" i="13"/>
  <c r="Z4" i="13"/>
  <c r="AA4" i="13"/>
  <c r="P5" i="13"/>
  <c r="Q5" i="13"/>
  <c r="R5" i="13"/>
  <c r="S5" i="13"/>
  <c r="T5" i="13"/>
  <c r="U5" i="13"/>
  <c r="V5" i="13"/>
  <c r="W5" i="13"/>
  <c r="X5" i="13"/>
  <c r="Y5" i="13"/>
  <c r="Z5" i="13"/>
  <c r="AA5" i="13"/>
  <c r="P6" i="13"/>
  <c r="Q6" i="13"/>
  <c r="R6" i="13"/>
  <c r="S6" i="13"/>
  <c r="T6" i="13"/>
  <c r="U6" i="13"/>
  <c r="V6" i="13"/>
  <c r="W6" i="13"/>
  <c r="X6" i="13"/>
  <c r="Y6" i="13"/>
  <c r="Z6" i="13"/>
  <c r="AA6" i="13"/>
  <c r="P7" i="13"/>
  <c r="Q7" i="13"/>
  <c r="R7" i="13"/>
  <c r="S7" i="13"/>
  <c r="T7" i="13"/>
  <c r="U7" i="13"/>
  <c r="V7" i="13"/>
  <c r="W7" i="13"/>
  <c r="X7" i="13"/>
  <c r="Y7" i="13"/>
  <c r="Z7" i="13"/>
  <c r="AA7" i="13"/>
  <c r="P8" i="13"/>
  <c r="Q8" i="13"/>
  <c r="R8" i="13"/>
  <c r="S8" i="13"/>
  <c r="T8" i="13"/>
  <c r="U8" i="13"/>
  <c r="V8" i="13"/>
  <c r="W8" i="13"/>
  <c r="X8" i="13"/>
  <c r="Y8" i="13"/>
  <c r="Z8" i="13"/>
  <c r="AA8" i="13"/>
  <c r="P9" i="13"/>
  <c r="Q9" i="13"/>
  <c r="R9" i="13"/>
  <c r="S9" i="13"/>
  <c r="T9" i="13"/>
  <c r="U9" i="13"/>
  <c r="V9" i="13"/>
  <c r="W9" i="13"/>
  <c r="X9" i="13"/>
  <c r="Y9" i="13"/>
  <c r="Z9" i="13"/>
  <c r="AA9" i="13"/>
  <c r="P10" i="13"/>
  <c r="Q10" i="13"/>
  <c r="R10" i="13"/>
  <c r="S10" i="13"/>
  <c r="T10" i="13"/>
  <c r="U10" i="13"/>
  <c r="V10" i="13"/>
  <c r="W10" i="13"/>
  <c r="X10" i="13"/>
  <c r="Y10" i="13"/>
  <c r="Z10" i="13"/>
  <c r="AA10" i="13"/>
  <c r="P11" i="13"/>
  <c r="Q11" i="13"/>
  <c r="R11" i="13"/>
  <c r="S11" i="13"/>
  <c r="T11" i="13"/>
  <c r="U11" i="13"/>
  <c r="V11" i="13"/>
  <c r="W11" i="13"/>
  <c r="X11" i="13"/>
  <c r="Y11" i="13"/>
  <c r="Z11" i="13"/>
  <c r="AA11" i="13"/>
  <c r="P12" i="13"/>
  <c r="Q12" i="13"/>
  <c r="R12" i="13"/>
  <c r="S12" i="13"/>
  <c r="T12" i="13"/>
  <c r="U12" i="13"/>
  <c r="V12" i="13"/>
  <c r="W12" i="13"/>
  <c r="X12" i="13"/>
  <c r="Y12" i="13"/>
  <c r="Z12" i="13"/>
  <c r="AA12" i="13"/>
  <c r="P13" i="13"/>
  <c r="Q13" i="13"/>
  <c r="R13" i="13"/>
  <c r="S13" i="13"/>
  <c r="T13" i="13"/>
  <c r="U13" i="13"/>
  <c r="V13" i="13"/>
  <c r="W13" i="13"/>
  <c r="X13" i="13"/>
  <c r="Y13" i="13"/>
  <c r="Z13" i="13"/>
  <c r="AA13" i="13"/>
  <c r="P14" i="13"/>
  <c r="Q14" i="13"/>
  <c r="R14" i="13"/>
  <c r="S14" i="13"/>
  <c r="T14" i="13"/>
  <c r="U14" i="13"/>
  <c r="V14" i="13"/>
  <c r="W14" i="13"/>
  <c r="X14" i="13"/>
  <c r="Y14" i="13"/>
  <c r="Z14" i="13"/>
  <c r="AA14" i="13"/>
  <c r="P15" i="13"/>
  <c r="Q15" i="13"/>
  <c r="R15" i="13"/>
  <c r="S15" i="13"/>
  <c r="T15" i="13"/>
  <c r="U15" i="13"/>
  <c r="V15" i="13"/>
  <c r="W15" i="13"/>
  <c r="X15" i="13"/>
  <c r="Y15" i="13"/>
  <c r="Z15" i="13"/>
  <c r="AA15" i="13"/>
  <c r="P16" i="13"/>
  <c r="Q16" i="13"/>
  <c r="R16" i="13"/>
  <c r="S16" i="13"/>
  <c r="T16" i="13"/>
  <c r="U16" i="13"/>
  <c r="V16" i="13"/>
  <c r="W16" i="13"/>
  <c r="X16" i="13"/>
  <c r="Y16" i="13"/>
  <c r="Z16" i="13"/>
  <c r="AA16" i="13"/>
  <c r="P17" i="13"/>
  <c r="Q17" i="13"/>
  <c r="R17" i="13"/>
  <c r="S17" i="13"/>
  <c r="T17" i="13"/>
  <c r="U17" i="13"/>
  <c r="V17" i="13"/>
  <c r="W17" i="13"/>
  <c r="X17" i="13"/>
  <c r="Y17" i="13"/>
  <c r="Z17" i="13"/>
  <c r="AA17" i="13"/>
  <c r="P18" i="13"/>
  <c r="Q18" i="13"/>
  <c r="R18" i="13"/>
  <c r="S18" i="13"/>
  <c r="T18" i="13"/>
  <c r="U18" i="13"/>
  <c r="V18" i="13"/>
  <c r="W18" i="13"/>
  <c r="X18" i="13"/>
  <c r="Y18" i="13"/>
  <c r="Z18" i="13"/>
  <c r="AA18" i="13"/>
  <c r="P19" i="13"/>
  <c r="Q19" i="13"/>
  <c r="R19" i="13"/>
  <c r="S19" i="13"/>
  <c r="T19" i="13"/>
  <c r="N438" i="31" s="1"/>
  <c r="U19" i="13"/>
  <c r="V19" i="13"/>
  <c r="W19" i="13"/>
  <c r="X19" i="13"/>
  <c r="Y19" i="13"/>
  <c r="Z19" i="13"/>
  <c r="AA19" i="13"/>
  <c r="P20" i="13"/>
  <c r="Q20" i="13"/>
  <c r="R20" i="13"/>
  <c r="S20" i="13"/>
  <c r="T20" i="13"/>
  <c r="U20" i="13"/>
  <c r="V20" i="13"/>
  <c r="W20" i="13"/>
  <c r="X20" i="13"/>
  <c r="Y20" i="13"/>
  <c r="Z20" i="13"/>
  <c r="AA20" i="13"/>
  <c r="P21" i="13"/>
  <c r="Q21" i="13"/>
  <c r="R21" i="13"/>
  <c r="S21" i="13"/>
  <c r="T21" i="13"/>
  <c r="U21" i="13"/>
  <c r="V21" i="13"/>
  <c r="W21" i="13"/>
  <c r="X21" i="13"/>
  <c r="Y21" i="13"/>
  <c r="Z21" i="13"/>
  <c r="AA21" i="13"/>
  <c r="P22" i="13"/>
  <c r="Q22" i="13"/>
  <c r="R22" i="13"/>
  <c r="S22" i="13"/>
  <c r="T22" i="13"/>
  <c r="U22" i="13"/>
  <c r="V22" i="13"/>
  <c r="W22" i="13"/>
  <c r="X22" i="13"/>
  <c r="Y22" i="13"/>
  <c r="Z22" i="13"/>
  <c r="AA22" i="13"/>
  <c r="P23" i="13"/>
  <c r="Q23" i="13"/>
  <c r="R23" i="13"/>
  <c r="S23" i="13"/>
  <c r="T23" i="13"/>
  <c r="U23" i="13"/>
  <c r="V23" i="13"/>
  <c r="W23" i="13"/>
  <c r="X23" i="13"/>
  <c r="Y23" i="13"/>
  <c r="Z23" i="13"/>
  <c r="AA23" i="13"/>
  <c r="P24" i="13"/>
  <c r="Q24" i="13"/>
  <c r="R24" i="13"/>
  <c r="S24" i="13"/>
  <c r="T24" i="13"/>
  <c r="U24" i="13"/>
  <c r="V24" i="13"/>
  <c r="W24" i="13"/>
  <c r="X24" i="13"/>
  <c r="Y24" i="13"/>
  <c r="Z24" i="13"/>
  <c r="AA24" i="13"/>
  <c r="P25" i="13"/>
  <c r="Q25" i="13"/>
  <c r="R25" i="13"/>
  <c r="S25" i="13"/>
  <c r="T25" i="13"/>
  <c r="U25" i="13"/>
  <c r="V25" i="13"/>
  <c r="W25" i="13"/>
  <c r="X25" i="13"/>
  <c r="Y25" i="13"/>
  <c r="Z25" i="13"/>
  <c r="AA25" i="13"/>
  <c r="P26" i="13"/>
  <c r="Q26" i="13"/>
  <c r="R26" i="13"/>
  <c r="S26" i="13"/>
  <c r="T26" i="13"/>
  <c r="U26" i="13"/>
  <c r="V26" i="13"/>
  <c r="W26" i="13"/>
  <c r="X26" i="13"/>
  <c r="Y26" i="13"/>
  <c r="Z26" i="13"/>
  <c r="AA26" i="13"/>
  <c r="P27" i="13"/>
  <c r="Q27" i="13"/>
  <c r="R27" i="13"/>
  <c r="S27" i="13"/>
  <c r="T27" i="13"/>
  <c r="U27" i="13"/>
  <c r="V27" i="13"/>
  <c r="W27" i="13"/>
  <c r="X27" i="13"/>
  <c r="Y27" i="13"/>
  <c r="Z27" i="13"/>
  <c r="AA27" i="13"/>
  <c r="P28" i="13"/>
  <c r="Q28" i="13"/>
  <c r="R28" i="13"/>
  <c r="S28" i="13"/>
  <c r="T28" i="13"/>
  <c r="U28" i="13"/>
  <c r="V28" i="13"/>
  <c r="W28" i="13"/>
  <c r="X28" i="13"/>
  <c r="Y28" i="13"/>
  <c r="Z28" i="13"/>
  <c r="AA28" i="13"/>
  <c r="P29" i="13"/>
  <c r="Q29" i="13"/>
  <c r="R29" i="13"/>
  <c r="S29" i="13"/>
  <c r="T29" i="13"/>
  <c r="U29" i="13"/>
  <c r="V29" i="13"/>
  <c r="W29" i="13"/>
  <c r="X29" i="13"/>
  <c r="Y29" i="13"/>
  <c r="Z29" i="13"/>
  <c r="AA29" i="13"/>
  <c r="P30" i="13"/>
  <c r="Q30" i="13"/>
  <c r="R30" i="13"/>
  <c r="S30" i="13"/>
  <c r="T30" i="13"/>
  <c r="U30" i="13"/>
  <c r="V30" i="13"/>
  <c r="W30" i="13"/>
  <c r="X30" i="13"/>
  <c r="Y30" i="13"/>
  <c r="Z30" i="13"/>
  <c r="AA30" i="13"/>
  <c r="P31" i="13"/>
  <c r="Q31" i="13"/>
  <c r="R31" i="13"/>
  <c r="S31" i="13"/>
  <c r="O176" i="1" s="1"/>
  <c r="A191" i="1" s="1"/>
  <c r="T31" i="13"/>
  <c r="O492" i="1" s="1"/>
  <c r="A508" i="1" s="1"/>
  <c r="U31" i="13"/>
  <c r="V31" i="13"/>
  <c r="O810" i="1" s="1"/>
  <c r="A822" i="1" s="1"/>
  <c r="W31" i="13"/>
  <c r="O887" i="1" s="1"/>
  <c r="A898" i="1" s="1"/>
  <c r="X31" i="13"/>
  <c r="O960" i="1" s="1"/>
  <c r="A972" i="1" s="1"/>
  <c r="Y31" i="13"/>
  <c r="Z31" i="13"/>
  <c r="AA31" i="13"/>
  <c r="P32" i="13"/>
  <c r="Q32" i="13"/>
  <c r="R32" i="13"/>
  <c r="S32" i="13"/>
  <c r="T32" i="13"/>
  <c r="U32" i="13"/>
  <c r="V32" i="13"/>
  <c r="W32" i="13"/>
  <c r="X32" i="13"/>
  <c r="Y32" i="13"/>
  <c r="Z32" i="13"/>
  <c r="AA32" i="13"/>
  <c r="P33" i="13"/>
  <c r="Q33" i="13"/>
  <c r="R33" i="13"/>
  <c r="S33" i="13"/>
  <c r="T33" i="13"/>
  <c r="U33" i="13"/>
  <c r="V33" i="13"/>
  <c r="W33" i="13"/>
  <c r="X33" i="13"/>
  <c r="Y33" i="13"/>
  <c r="Z33" i="13"/>
  <c r="AA33" i="13"/>
  <c r="P34" i="13"/>
  <c r="Q34" i="13"/>
  <c r="R34" i="13"/>
  <c r="S34" i="13"/>
  <c r="T34" i="13"/>
  <c r="U34" i="13"/>
  <c r="V34" i="13"/>
  <c r="W34" i="13"/>
  <c r="X34" i="13"/>
  <c r="Y34" i="13"/>
  <c r="Z34" i="13"/>
  <c r="AA34" i="13"/>
  <c r="P35" i="13"/>
  <c r="Q35" i="13"/>
  <c r="R35" i="13"/>
  <c r="S35" i="13"/>
  <c r="O177" i="1" s="1"/>
  <c r="A192" i="1" s="1"/>
  <c r="T35" i="13"/>
  <c r="O493" i="1" s="1"/>
  <c r="A509" i="1" s="1"/>
  <c r="U35" i="13"/>
  <c r="V35" i="13"/>
  <c r="O811" i="1" s="1"/>
  <c r="A823" i="1" s="1"/>
  <c r="W35" i="13"/>
  <c r="O888" i="1" s="1"/>
  <c r="A899" i="1" s="1"/>
  <c r="X35" i="13"/>
  <c r="O961" i="1" s="1"/>
  <c r="A973" i="1" s="1"/>
  <c r="Y35" i="13"/>
  <c r="Z35" i="13"/>
  <c r="AA35" i="13"/>
  <c r="P3" i="14"/>
  <c r="Q3" i="14"/>
  <c r="R3" i="14"/>
  <c r="S3" i="14"/>
  <c r="T3" i="14"/>
  <c r="U3" i="14"/>
  <c r="V3" i="14"/>
  <c r="W3" i="14"/>
  <c r="X3" i="14"/>
  <c r="M909" i="31" s="1"/>
  <c r="Y3" i="14"/>
  <c r="Z3" i="14"/>
  <c r="AA3" i="14"/>
  <c r="P4" i="14"/>
  <c r="Q4" i="14"/>
  <c r="R4" i="14"/>
  <c r="S4" i="14"/>
  <c r="T4" i="14"/>
  <c r="U4" i="14"/>
  <c r="V4" i="14"/>
  <c r="W4" i="14"/>
  <c r="X4" i="14"/>
  <c r="Y4" i="14"/>
  <c r="Z4" i="14"/>
  <c r="AA4" i="14"/>
  <c r="P5" i="14"/>
  <c r="Q5" i="14"/>
  <c r="R5" i="14"/>
  <c r="S5" i="14"/>
  <c r="T5" i="14"/>
  <c r="U5" i="14"/>
  <c r="V5" i="14"/>
  <c r="W5" i="14"/>
  <c r="X5" i="14"/>
  <c r="Y5" i="14"/>
  <c r="Z5" i="14"/>
  <c r="AA5" i="14"/>
  <c r="P6" i="14"/>
  <c r="Q6" i="14"/>
  <c r="R6" i="14"/>
  <c r="S6" i="14"/>
  <c r="T6" i="14"/>
  <c r="U6" i="14"/>
  <c r="V6" i="14"/>
  <c r="W6" i="14"/>
  <c r="X6" i="14"/>
  <c r="Y6" i="14"/>
  <c r="Z6" i="14"/>
  <c r="AA6" i="14"/>
  <c r="P7" i="14"/>
  <c r="Q7" i="14"/>
  <c r="R7" i="14"/>
  <c r="S7" i="14"/>
  <c r="T7" i="14"/>
  <c r="U7" i="14"/>
  <c r="V7" i="14"/>
  <c r="W7" i="14"/>
  <c r="X7" i="14"/>
  <c r="Y7" i="14"/>
  <c r="Z7" i="14"/>
  <c r="AA7" i="14"/>
  <c r="P8" i="14"/>
  <c r="Q8" i="14"/>
  <c r="R8" i="14"/>
  <c r="S8" i="14"/>
  <c r="T8" i="14"/>
  <c r="U8" i="14"/>
  <c r="V8" i="14"/>
  <c r="W8" i="14"/>
  <c r="X8" i="14"/>
  <c r="Y8" i="14"/>
  <c r="Z8" i="14"/>
  <c r="AA8" i="14"/>
  <c r="P9" i="14"/>
  <c r="Q9" i="14"/>
  <c r="R9" i="14"/>
  <c r="S9" i="14"/>
  <c r="T9" i="14"/>
  <c r="U9" i="14"/>
  <c r="V9" i="14"/>
  <c r="W9" i="14"/>
  <c r="X9" i="14"/>
  <c r="Y9" i="14"/>
  <c r="Z9" i="14"/>
  <c r="AA9" i="14"/>
  <c r="P10" i="14"/>
  <c r="Q10" i="14"/>
  <c r="R10" i="14"/>
  <c r="S10" i="14"/>
  <c r="T10" i="14"/>
  <c r="U10" i="14"/>
  <c r="V10" i="14"/>
  <c r="W10" i="14"/>
  <c r="X10" i="14"/>
  <c r="Y10" i="14"/>
  <c r="Z10" i="14"/>
  <c r="AA10" i="14"/>
  <c r="P11" i="14"/>
  <c r="Q11" i="14"/>
  <c r="R11" i="14"/>
  <c r="S11" i="14"/>
  <c r="T11" i="14"/>
  <c r="U11" i="14"/>
  <c r="V11" i="14"/>
  <c r="W11" i="14"/>
  <c r="X11" i="14"/>
  <c r="Y11" i="14"/>
  <c r="Z11" i="14"/>
  <c r="AA11" i="14"/>
  <c r="P12" i="14"/>
  <c r="Q12" i="14"/>
  <c r="R12" i="14"/>
  <c r="S12" i="14"/>
  <c r="T12" i="14"/>
  <c r="U12" i="14"/>
  <c r="V12" i="14"/>
  <c r="W12" i="14"/>
  <c r="X12" i="14"/>
  <c r="Y12" i="14"/>
  <c r="Z12" i="14"/>
  <c r="AA12" i="14"/>
  <c r="P13" i="14"/>
  <c r="Q13" i="14"/>
  <c r="R13" i="14"/>
  <c r="S13" i="14"/>
  <c r="T13" i="14"/>
  <c r="U13" i="14"/>
  <c r="V13" i="14"/>
  <c r="W13" i="14"/>
  <c r="X13" i="14"/>
  <c r="Y13" i="14"/>
  <c r="Z13" i="14"/>
  <c r="AA13" i="14"/>
  <c r="P14" i="14"/>
  <c r="Q14" i="14"/>
  <c r="R14" i="14"/>
  <c r="S14" i="14"/>
  <c r="T14" i="14"/>
  <c r="U14" i="14"/>
  <c r="V14" i="14"/>
  <c r="W14" i="14"/>
  <c r="X14" i="14"/>
  <c r="Y14" i="14"/>
  <c r="Z14" i="14"/>
  <c r="AA14" i="14"/>
  <c r="P15" i="14"/>
  <c r="Q15" i="14"/>
  <c r="R15" i="14"/>
  <c r="S15" i="14"/>
  <c r="T15" i="14"/>
  <c r="U15" i="14"/>
  <c r="V15" i="14"/>
  <c r="W15" i="14"/>
  <c r="X15" i="14"/>
  <c r="Y15" i="14"/>
  <c r="Z15" i="14"/>
  <c r="AA15" i="14"/>
  <c r="P16" i="14"/>
  <c r="Q16" i="14"/>
  <c r="R16" i="14"/>
  <c r="S16" i="14"/>
  <c r="T16" i="14"/>
  <c r="U16" i="14"/>
  <c r="V16" i="14"/>
  <c r="W16" i="14"/>
  <c r="X16" i="14"/>
  <c r="Y16" i="14"/>
  <c r="Z16" i="14"/>
  <c r="AA16" i="14"/>
  <c r="P17" i="14"/>
  <c r="Q17" i="14"/>
  <c r="R17" i="14"/>
  <c r="S17" i="14"/>
  <c r="T17" i="14"/>
  <c r="U17" i="14"/>
  <c r="V17" i="14"/>
  <c r="W17" i="14"/>
  <c r="X17" i="14"/>
  <c r="Y17" i="14"/>
  <c r="Z17" i="14"/>
  <c r="AA17" i="14"/>
  <c r="P18" i="14"/>
  <c r="Q18" i="14"/>
  <c r="R18" i="14"/>
  <c r="S18" i="14"/>
  <c r="T18" i="14"/>
  <c r="U18" i="14"/>
  <c r="V18" i="14"/>
  <c r="W18" i="14"/>
  <c r="X18" i="14"/>
  <c r="Y18" i="14"/>
  <c r="Z18" i="14"/>
  <c r="AA18" i="14"/>
  <c r="P19" i="14"/>
  <c r="Q19" i="14"/>
  <c r="R19" i="14"/>
  <c r="S19" i="14"/>
  <c r="T19" i="14"/>
  <c r="U19" i="14"/>
  <c r="V19" i="14"/>
  <c r="W19" i="14"/>
  <c r="X19" i="14"/>
  <c r="Y19" i="14"/>
  <c r="Z19" i="14"/>
  <c r="AA19" i="14"/>
  <c r="P20" i="14"/>
  <c r="Q20" i="14"/>
  <c r="R20" i="14"/>
  <c r="S20" i="14"/>
  <c r="T20" i="14"/>
  <c r="U20" i="14"/>
  <c r="V20" i="14"/>
  <c r="W20" i="14"/>
  <c r="X20" i="14"/>
  <c r="Y20" i="14"/>
  <c r="Z20" i="14"/>
  <c r="AA20" i="14"/>
  <c r="P21" i="14"/>
  <c r="Q21" i="14"/>
  <c r="R21" i="14"/>
  <c r="S21" i="14"/>
  <c r="T21" i="14"/>
  <c r="U21" i="14"/>
  <c r="V21" i="14"/>
  <c r="W21" i="14"/>
  <c r="X21" i="14"/>
  <c r="Y21" i="14"/>
  <c r="Z21" i="14"/>
  <c r="AA21" i="14"/>
  <c r="P22" i="14"/>
  <c r="Q22" i="14"/>
  <c r="R22" i="14"/>
  <c r="S22" i="14"/>
  <c r="T22" i="14"/>
  <c r="U22" i="14"/>
  <c r="V22" i="14"/>
  <c r="W22" i="14"/>
  <c r="X22" i="14"/>
  <c r="Y22" i="14"/>
  <c r="Z22" i="14"/>
  <c r="AA22" i="14"/>
  <c r="P23" i="14"/>
  <c r="Q23" i="14"/>
  <c r="R23" i="14"/>
  <c r="S23" i="14"/>
  <c r="T23" i="14"/>
  <c r="U23" i="14"/>
  <c r="V23" i="14"/>
  <c r="W23" i="14"/>
  <c r="X23" i="14"/>
  <c r="Y23" i="14"/>
  <c r="Z23" i="14"/>
  <c r="AA23" i="14"/>
  <c r="P24" i="14"/>
  <c r="Q24" i="14"/>
  <c r="R24" i="14"/>
  <c r="S24" i="14"/>
  <c r="T24" i="14"/>
  <c r="U24" i="14"/>
  <c r="V24" i="14"/>
  <c r="W24" i="14"/>
  <c r="X24" i="14"/>
  <c r="Y24" i="14"/>
  <c r="Z24" i="14"/>
  <c r="AA24" i="14"/>
  <c r="P25" i="14"/>
  <c r="Q25" i="14"/>
  <c r="R25" i="14"/>
  <c r="S25" i="14"/>
  <c r="T25" i="14"/>
  <c r="U25" i="14"/>
  <c r="V25" i="14"/>
  <c r="W25" i="14"/>
  <c r="X25" i="14"/>
  <c r="Y25" i="14"/>
  <c r="Z25" i="14"/>
  <c r="AA25" i="14"/>
  <c r="P26" i="14"/>
  <c r="Q26" i="14"/>
  <c r="R26" i="14"/>
  <c r="S26" i="14"/>
  <c r="T26" i="14"/>
  <c r="U26" i="14"/>
  <c r="V26" i="14"/>
  <c r="W26" i="14"/>
  <c r="X26" i="14"/>
  <c r="Y26" i="14"/>
  <c r="Z26" i="14"/>
  <c r="AA26" i="14"/>
  <c r="P27" i="14"/>
  <c r="Q27" i="14"/>
  <c r="R27" i="14"/>
  <c r="S27" i="14"/>
  <c r="T27" i="14"/>
  <c r="U27" i="14"/>
  <c r="V27" i="14"/>
  <c r="W27" i="14"/>
  <c r="X27" i="14"/>
  <c r="Y27" i="14"/>
  <c r="Z27" i="14"/>
  <c r="AA27" i="14"/>
  <c r="P28" i="14"/>
  <c r="Q28" i="14"/>
  <c r="R28" i="14"/>
  <c r="S28" i="14"/>
  <c r="T28" i="14"/>
  <c r="U28" i="14"/>
  <c r="V28" i="14"/>
  <c r="W28" i="14"/>
  <c r="X28" i="14"/>
  <c r="Y28" i="14"/>
  <c r="Z28" i="14"/>
  <c r="AA28" i="14"/>
  <c r="P29" i="14"/>
  <c r="Q29" i="14"/>
  <c r="R29" i="14"/>
  <c r="S29" i="14"/>
  <c r="T29" i="14"/>
  <c r="U29" i="14"/>
  <c r="V29" i="14"/>
  <c r="W29" i="14"/>
  <c r="X29" i="14"/>
  <c r="Y29" i="14"/>
  <c r="Z29" i="14"/>
  <c r="AA29" i="14"/>
  <c r="P30" i="14"/>
  <c r="Q30" i="14"/>
  <c r="R30" i="14"/>
  <c r="S30" i="14"/>
  <c r="T30" i="14"/>
  <c r="U30" i="14"/>
  <c r="V30" i="14"/>
  <c r="W30" i="14"/>
  <c r="X30" i="14"/>
  <c r="Y30" i="14"/>
  <c r="Z30" i="14"/>
  <c r="AA30" i="14"/>
  <c r="P31" i="14"/>
  <c r="Q31" i="14"/>
  <c r="R31" i="14"/>
  <c r="S31" i="14"/>
  <c r="T31" i="14"/>
  <c r="U31" i="14"/>
  <c r="V31" i="14"/>
  <c r="W31" i="14"/>
  <c r="X31" i="14"/>
  <c r="Y31" i="14"/>
  <c r="Z31" i="14"/>
  <c r="AA31" i="14"/>
  <c r="P32" i="14"/>
  <c r="Q32" i="14"/>
  <c r="R32" i="14"/>
  <c r="S32" i="14"/>
  <c r="T32" i="14"/>
  <c r="U32" i="14"/>
  <c r="V32" i="14"/>
  <c r="W32" i="14"/>
  <c r="X32" i="14"/>
  <c r="Y32" i="14"/>
  <c r="Z32" i="14"/>
  <c r="AA32" i="14"/>
  <c r="P33" i="14"/>
  <c r="Q33" i="14"/>
  <c r="R33" i="14"/>
  <c r="S33" i="14"/>
  <c r="T33" i="14"/>
  <c r="U33" i="14"/>
  <c r="V33" i="14"/>
  <c r="W33" i="14"/>
  <c r="X33" i="14"/>
  <c r="Y33" i="14"/>
  <c r="Z33" i="14"/>
  <c r="AA33" i="14"/>
  <c r="P34" i="14"/>
  <c r="Q34" i="14"/>
  <c r="R34" i="14"/>
  <c r="S34" i="14"/>
  <c r="T34" i="14"/>
  <c r="U34" i="14"/>
  <c r="V34" i="14"/>
  <c r="W34" i="14"/>
  <c r="X34" i="14"/>
  <c r="Y34" i="14"/>
  <c r="Z34" i="14"/>
  <c r="AA34" i="14"/>
  <c r="P35" i="14"/>
  <c r="Q35" i="14"/>
  <c r="R35" i="14"/>
  <c r="S35" i="14"/>
  <c r="M143" i="31" s="1"/>
  <c r="T35" i="14"/>
  <c r="U35" i="14"/>
  <c r="V35" i="14"/>
  <c r="W35" i="14"/>
  <c r="M834" i="31" s="1"/>
  <c r="X35" i="14"/>
  <c r="M907" i="31" s="1"/>
  <c r="Y35" i="14"/>
  <c r="Z35" i="14"/>
  <c r="AA35" i="14"/>
  <c r="P3" i="15"/>
  <c r="Q3" i="15"/>
  <c r="R3" i="15"/>
  <c r="S3" i="15"/>
  <c r="T3" i="15"/>
  <c r="L439" i="31" s="1"/>
  <c r="U3" i="15"/>
  <c r="V3" i="15"/>
  <c r="W3" i="15"/>
  <c r="X3" i="15"/>
  <c r="Y3" i="15"/>
  <c r="Z3" i="15"/>
  <c r="AA3" i="15"/>
  <c r="P4" i="15"/>
  <c r="Q4" i="15"/>
  <c r="R4" i="15"/>
  <c r="S4" i="15"/>
  <c r="T4" i="15"/>
  <c r="U4" i="15"/>
  <c r="V4" i="15"/>
  <c r="W4" i="15"/>
  <c r="X4" i="15"/>
  <c r="Y4" i="15"/>
  <c r="Z4" i="15"/>
  <c r="AA4" i="15"/>
  <c r="P5" i="15"/>
  <c r="Q5" i="15"/>
  <c r="R5" i="15"/>
  <c r="S5" i="15"/>
  <c r="T5" i="15"/>
  <c r="U5" i="15"/>
  <c r="V5" i="15"/>
  <c r="W5" i="15"/>
  <c r="X5" i="15"/>
  <c r="Y5" i="15"/>
  <c r="Z5" i="15"/>
  <c r="AA5" i="15"/>
  <c r="P6" i="15"/>
  <c r="Q6" i="15"/>
  <c r="R6" i="15"/>
  <c r="S6" i="15"/>
  <c r="T6" i="15"/>
  <c r="U6" i="15"/>
  <c r="V6" i="15"/>
  <c r="W6" i="15"/>
  <c r="X6" i="15"/>
  <c r="Y6" i="15"/>
  <c r="Z6" i="15"/>
  <c r="AA6" i="15"/>
  <c r="P7" i="15"/>
  <c r="Q7" i="15"/>
  <c r="R7" i="15"/>
  <c r="S7" i="15"/>
  <c r="T7" i="15"/>
  <c r="U7" i="15"/>
  <c r="V7" i="15"/>
  <c r="W7" i="15"/>
  <c r="X7" i="15"/>
  <c r="Y7" i="15"/>
  <c r="Z7" i="15"/>
  <c r="AA7" i="15"/>
  <c r="P8" i="15"/>
  <c r="Q8" i="15"/>
  <c r="R8" i="15"/>
  <c r="S8" i="15"/>
  <c r="T8" i="15"/>
  <c r="U8" i="15"/>
  <c r="V8" i="15"/>
  <c r="W8" i="15"/>
  <c r="X8" i="15"/>
  <c r="Y8" i="15"/>
  <c r="Z8" i="15"/>
  <c r="AA8" i="15"/>
  <c r="P9" i="15"/>
  <c r="Q9" i="15"/>
  <c r="R9" i="15"/>
  <c r="S9" i="15"/>
  <c r="T9" i="15"/>
  <c r="U9" i="15"/>
  <c r="V9" i="15"/>
  <c r="W9" i="15"/>
  <c r="X9" i="15"/>
  <c r="Y9" i="15"/>
  <c r="Z9" i="15"/>
  <c r="AA9" i="15"/>
  <c r="P10" i="15"/>
  <c r="Q10" i="15"/>
  <c r="R10" i="15"/>
  <c r="S10" i="15"/>
  <c r="T10" i="15"/>
  <c r="U10" i="15"/>
  <c r="V10" i="15"/>
  <c r="W10" i="15"/>
  <c r="X10" i="15"/>
  <c r="Y10" i="15"/>
  <c r="Z10" i="15"/>
  <c r="AA10" i="15"/>
  <c r="P11" i="15"/>
  <c r="Q11" i="15"/>
  <c r="R11" i="15"/>
  <c r="S11" i="15"/>
  <c r="T11" i="15"/>
  <c r="U11" i="15"/>
  <c r="V11" i="15"/>
  <c r="W11" i="15"/>
  <c r="X11" i="15"/>
  <c r="Y11" i="15"/>
  <c r="Z11" i="15"/>
  <c r="AA11" i="15"/>
  <c r="P12" i="15"/>
  <c r="Q12" i="15"/>
  <c r="R12" i="15"/>
  <c r="S12" i="15"/>
  <c r="T12" i="15"/>
  <c r="U12" i="15"/>
  <c r="V12" i="15"/>
  <c r="W12" i="15"/>
  <c r="X12" i="15"/>
  <c r="Y12" i="15"/>
  <c r="Z12" i="15"/>
  <c r="AA12" i="15"/>
  <c r="P13" i="15"/>
  <c r="Q13" i="15"/>
  <c r="R13" i="15"/>
  <c r="S13" i="15"/>
  <c r="T13" i="15"/>
  <c r="U13" i="15"/>
  <c r="V13" i="15"/>
  <c r="W13" i="15"/>
  <c r="X13" i="15"/>
  <c r="Y13" i="15"/>
  <c r="Z13" i="15"/>
  <c r="AA13" i="15"/>
  <c r="P14" i="15"/>
  <c r="Q14" i="15"/>
  <c r="R14" i="15"/>
  <c r="S14" i="15"/>
  <c r="T14" i="15"/>
  <c r="U14" i="15"/>
  <c r="V14" i="15"/>
  <c r="W14" i="15"/>
  <c r="X14" i="15"/>
  <c r="Y14" i="15"/>
  <c r="Z14" i="15"/>
  <c r="AA14" i="15"/>
  <c r="P15" i="15"/>
  <c r="Q15" i="15"/>
  <c r="R15" i="15"/>
  <c r="S15" i="15"/>
  <c r="T15" i="15"/>
  <c r="U15" i="15"/>
  <c r="V15" i="15"/>
  <c r="W15" i="15"/>
  <c r="X15" i="15"/>
  <c r="Y15" i="15"/>
  <c r="Z15" i="15"/>
  <c r="AA15" i="15"/>
  <c r="P16" i="15"/>
  <c r="Q16" i="15"/>
  <c r="R16" i="15"/>
  <c r="S16" i="15"/>
  <c r="T16" i="15"/>
  <c r="U16" i="15"/>
  <c r="V16" i="15"/>
  <c r="W16" i="15"/>
  <c r="X16" i="15"/>
  <c r="Y16" i="15"/>
  <c r="Z16" i="15"/>
  <c r="AA16" i="15"/>
  <c r="P17" i="15"/>
  <c r="Q17" i="15"/>
  <c r="R17" i="15"/>
  <c r="S17" i="15"/>
  <c r="T17" i="15"/>
  <c r="U17" i="15"/>
  <c r="V17" i="15"/>
  <c r="W17" i="15"/>
  <c r="X17" i="15"/>
  <c r="Y17" i="15"/>
  <c r="Z17" i="15"/>
  <c r="AA17" i="15"/>
  <c r="P18" i="15"/>
  <c r="Q18" i="15"/>
  <c r="R18" i="15"/>
  <c r="S18" i="15"/>
  <c r="T18" i="15"/>
  <c r="U18" i="15"/>
  <c r="V18" i="15"/>
  <c r="W18" i="15"/>
  <c r="X18" i="15"/>
  <c r="Y18" i="15"/>
  <c r="Z18" i="15"/>
  <c r="AA18" i="15"/>
  <c r="P19" i="15"/>
  <c r="Q19" i="15"/>
  <c r="R19" i="15"/>
  <c r="S19" i="15"/>
  <c r="T19" i="15"/>
  <c r="U19" i="15"/>
  <c r="V19" i="15"/>
  <c r="W19" i="15"/>
  <c r="X19" i="15"/>
  <c r="Y19" i="15"/>
  <c r="Z19" i="15"/>
  <c r="AA19" i="15"/>
  <c r="P20" i="15"/>
  <c r="Q20" i="15"/>
  <c r="R20" i="15"/>
  <c r="S20" i="15"/>
  <c r="T20" i="15"/>
  <c r="U20" i="15"/>
  <c r="V20" i="15"/>
  <c r="W20" i="15"/>
  <c r="X20" i="15"/>
  <c r="Y20" i="15"/>
  <c r="Z20" i="15"/>
  <c r="AA20" i="15"/>
  <c r="P21" i="15"/>
  <c r="Q21" i="15"/>
  <c r="R21" i="15"/>
  <c r="S21" i="15"/>
  <c r="T21" i="15"/>
  <c r="U21" i="15"/>
  <c r="V21" i="15"/>
  <c r="W21" i="15"/>
  <c r="X21" i="15"/>
  <c r="Y21" i="15"/>
  <c r="Z21" i="15"/>
  <c r="AA21" i="15"/>
  <c r="P22" i="15"/>
  <c r="Q22" i="15"/>
  <c r="R22" i="15"/>
  <c r="S22" i="15"/>
  <c r="T22" i="15"/>
  <c r="U22" i="15"/>
  <c r="V22" i="15"/>
  <c r="W22" i="15"/>
  <c r="X22" i="15"/>
  <c r="Y22" i="15"/>
  <c r="Z22" i="15"/>
  <c r="AA22" i="15"/>
  <c r="P23" i="15"/>
  <c r="Q23" i="15"/>
  <c r="R23" i="15"/>
  <c r="S23" i="15"/>
  <c r="T23" i="15"/>
  <c r="U23" i="15"/>
  <c r="V23" i="15"/>
  <c r="W23" i="15"/>
  <c r="X23" i="15"/>
  <c r="Y23" i="15"/>
  <c r="Z23" i="15"/>
  <c r="AA23" i="15"/>
  <c r="P24" i="15"/>
  <c r="Q24" i="15"/>
  <c r="R24" i="15"/>
  <c r="S24" i="15"/>
  <c r="T24" i="15"/>
  <c r="U24" i="15"/>
  <c r="V24" i="15"/>
  <c r="W24" i="15"/>
  <c r="X24" i="15"/>
  <c r="Y24" i="15"/>
  <c r="Z24" i="15"/>
  <c r="AA24" i="15"/>
  <c r="P25" i="15"/>
  <c r="Q25" i="15"/>
  <c r="R25" i="15"/>
  <c r="S25" i="15"/>
  <c r="T25" i="15"/>
  <c r="U25" i="15"/>
  <c r="V25" i="15"/>
  <c r="W25" i="15"/>
  <c r="X25" i="15"/>
  <c r="Y25" i="15"/>
  <c r="Z25" i="15"/>
  <c r="AA25" i="15"/>
  <c r="P26" i="15"/>
  <c r="Q26" i="15"/>
  <c r="R26" i="15"/>
  <c r="S26" i="15"/>
  <c r="T26" i="15"/>
  <c r="U26" i="15"/>
  <c r="V26" i="15"/>
  <c r="W26" i="15"/>
  <c r="X26" i="15"/>
  <c r="Y26" i="15"/>
  <c r="Z26" i="15"/>
  <c r="AA26" i="15"/>
  <c r="P27" i="15"/>
  <c r="Q27" i="15"/>
  <c r="R27" i="15"/>
  <c r="S27" i="15"/>
  <c r="T27" i="15"/>
  <c r="U27" i="15"/>
  <c r="V27" i="15"/>
  <c r="W27" i="15"/>
  <c r="X27" i="15"/>
  <c r="Y27" i="15"/>
  <c r="Z27" i="15"/>
  <c r="AA27" i="15"/>
  <c r="P28" i="15"/>
  <c r="Q28" i="15"/>
  <c r="R28" i="15"/>
  <c r="S28" i="15"/>
  <c r="T28" i="15"/>
  <c r="U28" i="15"/>
  <c r="V28" i="15"/>
  <c r="W28" i="15"/>
  <c r="X28" i="15"/>
  <c r="Y28" i="15"/>
  <c r="Z28" i="15"/>
  <c r="AA28" i="15"/>
  <c r="P29" i="15"/>
  <c r="Q29" i="15"/>
  <c r="R29" i="15"/>
  <c r="S29" i="15"/>
  <c r="T29" i="15"/>
  <c r="U29" i="15"/>
  <c r="V29" i="15"/>
  <c r="W29" i="15"/>
  <c r="X29" i="15"/>
  <c r="Y29" i="15"/>
  <c r="Z29" i="15"/>
  <c r="AA29" i="15"/>
  <c r="P30" i="15"/>
  <c r="Q30" i="15"/>
  <c r="R30" i="15"/>
  <c r="S30" i="15"/>
  <c r="T30" i="15"/>
  <c r="U30" i="15"/>
  <c r="V30" i="15"/>
  <c r="W30" i="15"/>
  <c r="X30" i="15"/>
  <c r="Y30" i="15"/>
  <c r="Z30" i="15"/>
  <c r="AA30" i="15"/>
  <c r="P31" i="15"/>
  <c r="Q31" i="15"/>
  <c r="R31" i="15"/>
  <c r="S31" i="15"/>
  <c r="T31" i="15"/>
  <c r="U31" i="15"/>
  <c r="V31" i="15"/>
  <c r="W31" i="15"/>
  <c r="X31" i="15"/>
  <c r="Y31" i="15"/>
  <c r="Z31" i="15"/>
  <c r="AA31" i="15"/>
  <c r="P32" i="15"/>
  <c r="Q32" i="15"/>
  <c r="R32" i="15"/>
  <c r="S32" i="15"/>
  <c r="T32" i="15"/>
  <c r="U32" i="15"/>
  <c r="V32" i="15"/>
  <c r="W32" i="15"/>
  <c r="X32" i="15"/>
  <c r="Y32" i="15"/>
  <c r="Z32" i="15"/>
  <c r="AA32" i="15"/>
  <c r="P33" i="15"/>
  <c r="Q33" i="15"/>
  <c r="R33" i="15"/>
  <c r="S33" i="15"/>
  <c r="T33" i="15"/>
  <c r="U33" i="15"/>
  <c r="V33" i="15"/>
  <c r="W33" i="15"/>
  <c r="X33" i="15"/>
  <c r="Y33" i="15"/>
  <c r="Z33" i="15"/>
  <c r="AA33" i="15"/>
  <c r="P34" i="15"/>
  <c r="Q34" i="15"/>
  <c r="R34" i="15"/>
  <c r="S34" i="15"/>
  <c r="T34" i="15"/>
  <c r="U34" i="15"/>
  <c r="V34" i="15"/>
  <c r="W34" i="15"/>
  <c r="X34" i="15"/>
  <c r="Y34" i="15"/>
  <c r="Z34" i="15"/>
  <c r="AA34" i="15"/>
  <c r="P35" i="15"/>
  <c r="Q35" i="15"/>
  <c r="R35" i="15"/>
  <c r="S35" i="15"/>
  <c r="L143" i="31" s="1"/>
  <c r="T35" i="15"/>
  <c r="L437" i="31" s="1"/>
  <c r="U35" i="15"/>
  <c r="V35" i="15"/>
  <c r="L756" i="31" s="1"/>
  <c r="W35" i="15"/>
  <c r="L834" i="31" s="1"/>
  <c r="X35" i="15"/>
  <c r="Y35" i="15"/>
  <c r="Z35" i="15"/>
  <c r="AA35" i="15"/>
  <c r="D37" i="28"/>
  <c r="D38" i="28"/>
  <c r="A946" i="31" s="1"/>
  <c r="D39" i="28"/>
  <c r="D36" i="27"/>
  <c r="A922" i="1" s="1"/>
  <c r="D37" i="27"/>
  <c r="D38" i="27"/>
  <c r="D39" i="27"/>
  <c r="D36" i="23"/>
  <c r="A849" i="1" s="1"/>
  <c r="D37" i="23"/>
  <c r="D38" i="23"/>
  <c r="D39" i="23"/>
  <c r="A850" i="1" s="1"/>
  <c r="D37" i="22"/>
  <c r="D38" i="22"/>
  <c r="D39" i="22"/>
  <c r="D36" i="21"/>
  <c r="A214" i="1" s="1"/>
  <c r="D37" i="21"/>
  <c r="D38" i="21"/>
  <c r="D39" i="21"/>
  <c r="D37" i="20"/>
  <c r="D38" i="20"/>
  <c r="D39" i="20"/>
  <c r="L192" i="31"/>
  <c r="N192" i="31"/>
  <c r="P192" i="31"/>
  <c r="A203" i="31" s="1"/>
  <c r="K47" i="26"/>
  <c r="O227" i="1" s="1"/>
  <c r="L47" i="26"/>
  <c r="P227" i="1" s="1"/>
  <c r="M47" i="26"/>
  <c r="Q227" i="1" s="1"/>
  <c r="N47" i="26"/>
  <c r="R227" i="1" s="1"/>
  <c r="O47" i="26"/>
  <c r="S227" i="1" s="1"/>
  <c r="K48" i="26"/>
  <c r="O228" i="1" s="1"/>
  <c r="L48" i="26"/>
  <c r="P228" i="1" s="1"/>
  <c r="M48" i="26"/>
  <c r="Q228" i="1" s="1"/>
  <c r="N48" i="26"/>
  <c r="R228" i="1" s="1"/>
  <c r="O48" i="26"/>
  <c r="S228" i="1" s="1"/>
  <c r="A59" i="26"/>
  <c r="Q245" i="1" s="1"/>
  <c r="A60" i="26"/>
  <c r="A99" i="26" s="1"/>
  <c r="A61" i="26"/>
  <c r="A100" i="26" s="1"/>
  <c r="A62" i="26"/>
  <c r="A101" i="26" s="1"/>
  <c r="A63" i="26"/>
  <c r="A64" i="26"/>
  <c r="A103" i="26" s="1"/>
  <c r="A65" i="26"/>
  <c r="A104" i="26" s="1"/>
  <c r="A66" i="26"/>
  <c r="A105" i="26" s="1"/>
  <c r="A67" i="26"/>
  <c r="A106" i="26" s="1"/>
  <c r="A68" i="26"/>
  <c r="A107" i="26" s="1"/>
  <c r="A69" i="26"/>
  <c r="A108" i="26" s="1"/>
  <c r="A70" i="26"/>
  <c r="A109" i="26" s="1"/>
  <c r="A71" i="26"/>
  <c r="A110" i="26" s="1"/>
  <c r="A72" i="26"/>
  <c r="A111" i="26" s="1"/>
  <c r="A73" i="26"/>
  <c r="A112" i="26" s="1"/>
  <c r="A74" i="26"/>
  <c r="A113" i="26" s="1"/>
  <c r="A75" i="26"/>
  <c r="A76" i="26"/>
  <c r="A115" i="26" s="1"/>
  <c r="A77" i="26"/>
  <c r="A116" i="26" s="1"/>
  <c r="A78" i="26"/>
  <c r="A117" i="26" s="1"/>
  <c r="A79" i="26"/>
  <c r="A118" i="26" s="1"/>
  <c r="A80" i="26"/>
  <c r="A119" i="26" s="1"/>
  <c r="A81" i="26"/>
  <c r="A120" i="26" s="1"/>
  <c r="A82" i="26"/>
  <c r="A121" i="26" s="1"/>
  <c r="A83" i="26"/>
  <c r="A122" i="26" s="1"/>
  <c r="A84" i="26"/>
  <c r="A123" i="26" s="1"/>
  <c r="A85" i="26"/>
  <c r="A124" i="26" s="1"/>
  <c r="A86" i="26"/>
  <c r="A125" i="26" s="1"/>
  <c r="A87" i="26"/>
  <c r="A126" i="26" s="1"/>
  <c r="A88" i="26"/>
  <c r="A127" i="26" s="1"/>
  <c r="A89" i="26"/>
  <c r="A128" i="26" s="1"/>
  <c r="A90" i="26"/>
  <c r="A129" i="26" s="1"/>
  <c r="A91" i="26"/>
  <c r="A97" i="26"/>
  <c r="E97" i="26"/>
  <c r="F97" i="26"/>
  <c r="G97" i="26"/>
  <c r="A102" i="26"/>
  <c r="A114" i="26"/>
  <c r="A130" i="26"/>
  <c r="K135" i="26"/>
  <c r="A252" i="31" s="1"/>
  <c r="J132" i="26"/>
  <c r="K132" i="26" s="1"/>
  <c r="J134" i="26"/>
  <c r="L135" i="26"/>
  <c r="A251" i="31" s="1"/>
  <c r="M135" i="26"/>
  <c r="C163" i="26"/>
  <c r="C143" i="26"/>
  <c r="C157" i="26"/>
  <c r="C151" i="26"/>
  <c r="C158" i="26"/>
  <c r="C149" i="26"/>
  <c r="C166" i="26"/>
  <c r="C156" i="26"/>
  <c r="C164" i="26"/>
  <c r="C165" i="26"/>
  <c r="C161" i="26"/>
  <c r="C141" i="26"/>
  <c r="C167" i="26"/>
  <c r="C154" i="26"/>
  <c r="C159" i="26"/>
  <c r="C147" i="26"/>
  <c r="C140" i="26"/>
  <c r="C162" i="26"/>
  <c r="C168" i="26"/>
  <c r="C146" i="26"/>
  <c r="C144" i="26"/>
  <c r="C150" i="26"/>
  <c r="C153" i="26"/>
  <c r="C160" i="26"/>
  <c r="C155" i="26"/>
  <c r="C145" i="26"/>
  <c r="C148" i="26"/>
  <c r="C170" i="26"/>
  <c r="C171" i="26"/>
  <c r="C152" i="26"/>
  <c r="C142" i="26"/>
  <c r="C169" i="26"/>
  <c r="A173" i="26"/>
  <c r="H180" i="26"/>
  <c r="I180" i="26"/>
  <c r="J180" i="26"/>
  <c r="K180" i="26"/>
  <c r="L180" i="26"/>
  <c r="M180" i="26"/>
  <c r="Y188" i="26"/>
  <c r="Z188" i="26"/>
  <c r="Y208" i="26"/>
  <c r="Z208" i="26"/>
  <c r="Y198" i="26"/>
  <c r="Z198" i="26"/>
  <c r="Y197" i="26"/>
  <c r="Z197" i="26"/>
  <c r="Y185" i="26"/>
  <c r="Z185" i="26"/>
  <c r="Y200" i="26"/>
  <c r="Z200" i="26"/>
  <c r="Y182" i="26"/>
  <c r="Z182" i="26"/>
  <c r="Y183" i="26"/>
  <c r="Z183" i="26"/>
  <c r="Y210" i="26"/>
  <c r="Z210" i="26"/>
  <c r="Y205" i="26"/>
  <c r="Z205" i="26"/>
  <c r="Y212" i="26"/>
  <c r="Z212" i="26"/>
  <c r="Y187" i="26"/>
  <c r="Z187" i="26"/>
  <c r="Y204" i="26"/>
  <c r="Z204" i="26"/>
  <c r="Y201" i="26"/>
  <c r="Z201" i="26"/>
  <c r="Y194" i="26"/>
  <c r="Z194" i="26"/>
  <c r="Y181" i="26"/>
  <c r="Z181" i="26"/>
  <c r="Y199" i="26"/>
  <c r="Z199" i="26"/>
  <c r="Y193" i="26"/>
  <c r="Z193" i="26"/>
  <c r="Y190" i="26"/>
  <c r="Z190" i="26"/>
  <c r="Y196" i="26"/>
  <c r="Z196" i="26"/>
  <c r="Y186" i="26"/>
  <c r="Z186" i="26"/>
  <c r="Y209" i="26"/>
  <c r="Z209" i="26"/>
  <c r="Y211" i="26"/>
  <c r="Z211" i="26"/>
  <c r="Y207" i="26"/>
  <c r="Z207" i="26"/>
  <c r="Y184" i="26"/>
  <c r="Z184" i="26"/>
  <c r="Y202" i="26"/>
  <c r="Z202" i="26"/>
  <c r="Y213" i="26"/>
  <c r="Z213" i="26"/>
  <c r="Y192" i="26"/>
  <c r="Z192" i="26"/>
  <c r="Y206" i="26"/>
  <c r="Z206" i="26"/>
  <c r="Y195" i="26"/>
  <c r="Z195" i="26"/>
  <c r="Y189" i="26"/>
  <c r="Z189" i="26"/>
  <c r="Y203" i="26"/>
  <c r="Z203" i="26"/>
  <c r="H214" i="26"/>
  <c r="Y191" i="26"/>
  <c r="Z191" i="26"/>
  <c r="I214" i="26"/>
  <c r="K214" i="26"/>
  <c r="S215" i="26"/>
  <c r="T215" i="26"/>
  <c r="U215" i="26"/>
  <c r="V215" i="26"/>
  <c r="W215" i="26"/>
  <c r="X215" i="26"/>
  <c r="R216" i="26"/>
  <c r="S216" i="26"/>
  <c r="T216" i="26"/>
  <c r="U216" i="26"/>
  <c r="V216" i="26"/>
  <c r="W216" i="26"/>
  <c r="X216" i="26"/>
  <c r="Z253" i="26"/>
  <c r="AA253" i="26"/>
  <c r="Z247" i="26"/>
  <c r="AA247" i="26"/>
  <c r="Z242" i="26"/>
  <c r="AA242" i="26"/>
  <c r="Z249" i="26"/>
  <c r="AA249" i="26"/>
  <c r="Z241" i="26"/>
  <c r="AA241" i="26"/>
  <c r="Z259" i="26"/>
  <c r="AA259" i="26"/>
  <c r="Z237" i="26"/>
  <c r="AA237" i="26"/>
  <c r="Z255" i="26"/>
  <c r="AA255" i="26"/>
  <c r="Z257" i="26"/>
  <c r="AA257" i="26"/>
  <c r="Z234" i="26"/>
  <c r="AA234" i="26"/>
  <c r="Z261" i="26"/>
  <c r="AA261" i="26"/>
  <c r="Z246" i="26"/>
  <c r="AA246" i="26"/>
  <c r="Z240" i="26"/>
  <c r="AA240" i="26"/>
  <c r="Z229" i="26"/>
  <c r="AA229" i="26"/>
  <c r="Z258" i="26"/>
  <c r="AA258" i="26"/>
  <c r="Z230" i="26"/>
  <c r="AA230" i="26"/>
  <c r="Z254" i="26"/>
  <c r="AA254" i="26"/>
  <c r="Z243" i="26"/>
  <c r="AA243" i="26"/>
  <c r="Z232" i="26"/>
  <c r="AA232" i="26"/>
  <c r="Z231" i="26"/>
  <c r="AA231" i="26"/>
  <c r="Z260" i="26"/>
  <c r="AA260" i="26"/>
  <c r="Z238" i="26"/>
  <c r="AA238" i="26"/>
  <c r="Z256" i="26"/>
  <c r="AA256" i="26"/>
  <c r="Z244" i="26"/>
  <c r="AA244" i="26"/>
  <c r="Z233" i="26"/>
  <c r="AA233" i="26"/>
  <c r="Z245" i="26"/>
  <c r="AA245" i="26"/>
  <c r="Z248" i="26"/>
  <c r="AA248" i="26"/>
  <c r="Z236" i="26"/>
  <c r="AA236" i="26"/>
  <c r="Z250" i="26"/>
  <c r="AA250" i="26"/>
  <c r="Z251" i="26"/>
  <c r="AA251" i="26"/>
  <c r="Z235" i="26"/>
  <c r="AA235" i="26"/>
  <c r="Z252" i="26"/>
  <c r="AA252" i="26"/>
  <c r="Z239" i="26"/>
  <c r="AA239" i="26"/>
  <c r="S265" i="26"/>
  <c r="T265" i="26"/>
  <c r="U265" i="26"/>
  <c r="V265" i="26"/>
  <c r="W265" i="26"/>
  <c r="X265" i="26"/>
  <c r="Y265" i="26"/>
  <c r="R266" i="26"/>
  <c r="S266" i="26" s="1"/>
  <c r="S267" i="26"/>
  <c r="A337" i="31" s="1"/>
  <c r="T267" i="26"/>
  <c r="A338" i="31" s="1"/>
  <c r="U267" i="26"/>
  <c r="A339" i="31" s="1"/>
  <c r="V267" i="26"/>
  <c r="A340" i="31" s="1"/>
  <c r="W267" i="26"/>
  <c r="A341" i="31" s="1"/>
  <c r="X267" i="26"/>
  <c r="A342" i="31" s="1"/>
  <c r="Y267" i="26"/>
  <c r="R269" i="26"/>
  <c r="C78" i="25"/>
  <c r="C74" i="25"/>
  <c r="C68" i="25"/>
  <c r="C77" i="25"/>
  <c r="C69" i="25"/>
  <c r="C88" i="25"/>
  <c r="C82" i="25"/>
  <c r="C92" i="25"/>
  <c r="C81" i="25"/>
  <c r="C72" i="25"/>
  <c r="C85" i="25"/>
  <c r="C80" i="25"/>
  <c r="C64" i="25"/>
  <c r="C66" i="25"/>
  <c r="C65" i="25"/>
  <c r="C93" i="25"/>
  <c r="C70" i="25"/>
  <c r="C91" i="25"/>
  <c r="C90" i="25"/>
  <c r="C76" i="25"/>
  <c r="C71" i="25"/>
  <c r="C89" i="25"/>
  <c r="C94" i="25"/>
  <c r="C95" i="25"/>
  <c r="C84" i="25"/>
  <c r="C83" i="25"/>
  <c r="C87" i="25"/>
  <c r="C67" i="25"/>
  <c r="C73" i="25"/>
  <c r="C79" i="25"/>
  <c r="C86" i="25"/>
  <c r="C153" i="25"/>
  <c r="C151" i="25"/>
  <c r="C163" i="25"/>
  <c r="C171" i="25"/>
  <c r="C146" i="25"/>
  <c r="C176" i="25"/>
  <c r="C167" i="25"/>
  <c r="C170" i="25"/>
  <c r="C154" i="25"/>
  <c r="C160" i="25"/>
  <c r="C174" i="25"/>
  <c r="C165" i="25"/>
  <c r="C149" i="25"/>
  <c r="C168" i="25"/>
  <c r="C172" i="25"/>
  <c r="C164" i="25"/>
  <c r="C156" i="25"/>
  <c r="C175" i="25"/>
  <c r="C162" i="25"/>
  <c r="C152" i="25"/>
  <c r="C148" i="25"/>
  <c r="C173" i="25"/>
  <c r="C145" i="25"/>
  <c r="C150" i="25"/>
  <c r="C159" i="25"/>
  <c r="C158" i="25"/>
  <c r="C155" i="25"/>
  <c r="C169" i="25"/>
  <c r="C166" i="25"/>
  <c r="C147" i="25"/>
  <c r="C157" i="25"/>
  <c r="C161" i="25"/>
  <c r="B178" i="25"/>
  <c r="A625" i="1" s="1"/>
  <c r="B179" i="25"/>
  <c r="X187" i="25"/>
  <c r="C251" i="25"/>
  <c r="C253" i="25"/>
  <c r="C235" i="25"/>
  <c r="C237" i="25"/>
  <c r="C260" i="25"/>
  <c r="C239" i="25"/>
  <c r="C232" i="25"/>
  <c r="C247" i="25"/>
  <c r="C243" i="25"/>
  <c r="C254" i="25"/>
  <c r="C258" i="25"/>
  <c r="C234" i="25"/>
  <c r="C233" i="25"/>
  <c r="C246" i="25"/>
  <c r="C240" i="25"/>
  <c r="C261" i="25"/>
  <c r="C236" i="25"/>
  <c r="C249" i="25"/>
  <c r="C242" i="25"/>
  <c r="C250" i="25"/>
  <c r="C255" i="25"/>
  <c r="C241" i="25"/>
  <c r="C259" i="25"/>
  <c r="C256" i="25"/>
  <c r="C244" i="25"/>
  <c r="C230" i="25"/>
  <c r="C238" i="25"/>
  <c r="C252" i="25"/>
  <c r="C257" i="25"/>
  <c r="C231" i="25"/>
  <c r="C248" i="25"/>
  <c r="B263" i="25"/>
  <c r="A671" i="1" s="1"/>
  <c r="B264" i="25"/>
  <c r="C323" i="25"/>
  <c r="C318" i="25"/>
  <c r="C326" i="25"/>
  <c r="A664" i="31"/>
  <c r="C312" i="25"/>
  <c r="C338" i="25"/>
  <c r="C335" i="25"/>
  <c r="C337" i="25"/>
  <c r="C331" i="25"/>
  <c r="C328" i="25"/>
  <c r="C327" i="25"/>
  <c r="C342" i="25"/>
  <c r="C311" i="25"/>
  <c r="C330" i="25"/>
  <c r="C314" i="25"/>
  <c r="C324" i="25"/>
  <c r="C334" i="25"/>
  <c r="C329" i="25"/>
  <c r="C313" i="25"/>
  <c r="C336" i="25"/>
  <c r="C319" i="25"/>
  <c r="C316" i="25"/>
  <c r="C321" i="25"/>
  <c r="C332" i="25"/>
  <c r="C325" i="25"/>
  <c r="C341" i="25"/>
  <c r="C339" i="25"/>
  <c r="C315" i="25"/>
  <c r="C333" i="25"/>
  <c r="C320" i="25"/>
  <c r="C340" i="25"/>
  <c r="C322" i="25"/>
  <c r="C317" i="25"/>
  <c r="A344" i="25"/>
  <c r="B344" i="25"/>
  <c r="A714" i="1" s="1"/>
  <c r="L691" i="31"/>
  <c r="N4" i="29"/>
  <c r="O4" i="29"/>
  <c r="P4" i="29"/>
  <c r="Q4" i="29"/>
  <c r="R4" i="29"/>
  <c r="S4" i="29"/>
  <c r="T4" i="29"/>
  <c r="U4" i="29"/>
  <c r="V4" i="29"/>
  <c r="N5" i="29"/>
  <c r="O5" i="29"/>
  <c r="P5" i="29"/>
  <c r="Q5" i="29"/>
  <c r="R5" i="29"/>
  <c r="S5" i="29"/>
  <c r="T5" i="29"/>
  <c r="U5" i="29"/>
  <c r="V5" i="29"/>
  <c r="N6" i="29"/>
  <c r="O6" i="29"/>
  <c r="P6" i="29"/>
  <c r="Q6" i="29"/>
  <c r="R6" i="29"/>
  <c r="S6" i="29"/>
  <c r="T6" i="29"/>
  <c r="U6" i="29"/>
  <c r="V6" i="29"/>
  <c r="N7" i="29"/>
  <c r="O7" i="29"/>
  <c r="P7" i="29"/>
  <c r="Q7" i="29"/>
  <c r="R7" i="29"/>
  <c r="S7" i="29"/>
  <c r="T7" i="29"/>
  <c r="U7" i="29"/>
  <c r="V7" i="29"/>
  <c r="N8" i="29"/>
  <c r="O8" i="29"/>
  <c r="P8" i="29"/>
  <c r="Q8" i="29"/>
  <c r="R8" i="29"/>
  <c r="S8" i="29"/>
  <c r="T8" i="29"/>
  <c r="U8" i="29"/>
  <c r="V8" i="29"/>
  <c r="N9" i="29"/>
  <c r="O9" i="29"/>
  <c r="P9" i="29"/>
  <c r="Q9" i="29"/>
  <c r="R9" i="29"/>
  <c r="S9" i="29"/>
  <c r="T9" i="29"/>
  <c r="U9" i="29"/>
  <c r="V9" i="29"/>
  <c r="N10" i="29"/>
  <c r="O10" i="29"/>
  <c r="P10" i="29"/>
  <c r="Q10" i="29"/>
  <c r="R10" i="29"/>
  <c r="S10" i="29"/>
  <c r="T10" i="29"/>
  <c r="U10" i="29"/>
  <c r="V10" i="29"/>
  <c r="N11" i="29"/>
  <c r="O11" i="29"/>
  <c r="P11" i="29"/>
  <c r="Q11" i="29"/>
  <c r="R11" i="29"/>
  <c r="S11" i="29"/>
  <c r="T11" i="29"/>
  <c r="U11" i="29"/>
  <c r="V11" i="29"/>
  <c r="N12" i="29"/>
  <c r="O12" i="29"/>
  <c r="P12" i="29"/>
  <c r="Q12" i="29"/>
  <c r="R12" i="29"/>
  <c r="S12" i="29"/>
  <c r="T12" i="29"/>
  <c r="U12" i="29"/>
  <c r="V12" i="29"/>
  <c r="N13" i="29"/>
  <c r="O13" i="29"/>
  <c r="P13" i="29"/>
  <c r="Q13" i="29"/>
  <c r="R13" i="29"/>
  <c r="S13" i="29"/>
  <c r="T13" i="29"/>
  <c r="U13" i="29"/>
  <c r="V13" i="29"/>
  <c r="N14" i="29"/>
  <c r="O14" i="29"/>
  <c r="P14" i="29"/>
  <c r="Q14" i="29"/>
  <c r="R14" i="29"/>
  <c r="S14" i="29"/>
  <c r="T14" i="29"/>
  <c r="U14" i="29"/>
  <c r="V14" i="29"/>
  <c r="N15" i="29"/>
  <c r="O15" i="29"/>
  <c r="P15" i="29"/>
  <c r="Q15" i="29"/>
  <c r="R15" i="29"/>
  <c r="S15" i="29"/>
  <c r="T15" i="29"/>
  <c r="U15" i="29"/>
  <c r="V15" i="29"/>
  <c r="N16" i="29"/>
  <c r="O16" i="29"/>
  <c r="P16" i="29"/>
  <c r="Q16" i="29"/>
  <c r="R16" i="29"/>
  <c r="S16" i="29"/>
  <c r="T16" i="29"/>
  <c r="U16" i="29"/>
  <c r="V16" i="29"/>
  <c r="N17" i="29"/>
  <c r="O17" i="29"/>
  <c r="P17" i="29"/>
  <c r="Q17" i="29"/>
  <c r="R17" i="29"/>
  <c r="S17" i="29"/>
  <c r="T17" i="29"/>
  <c r="U17" i="29"/>
  <c r="V17" i="29"/>
  <c r="N18" i="29"/>
  <c r="O18" i="29"/>
  <c r="P18" i="29"/>
  <c r="Q18" i="29"/>
  <c r="R18" i="29"/>
  <c r="S18" i="29"/>
  <c r="T18" i="29"/>
  <c r="U18" i="29"/>
  <c r="V18" i="29"/>
  <c r="N19" i="29"/>
  <c r="O19" i="29"/>
  <c r="P19" i="29"/>
  <c r="Q19" i="29"/>
  <c r="R19" i="29"/>
  <c r="S19" i="29"/>
  <c r="T19" i="29"/>
  <c r="U19" i="29"/>
  <c r="V19" i="29"/>
  <c r="N20" i="29"/>
  <c r="O20" i="29"/>
  <c r="P20" i="29"/>
  <c r="Q20" i="29"/>
  <c r="R20" i="29"/>
  <c r="S20" i="29"/>
  <c r="T20" i="29"/>
  <c r="U20" i="29"/>
  <c r="V20" i="29"/>
  <c r="N21" i="29"/>
  <c r="O21" i="29"/>
  <c r="P21" i="29"/>
  <c r="Q21" i="29"/>
  <c r="R21" i="29"/>
  <c r="S21" i="29"/>
  <c r="T21" i="29"/>
  <c r="U21" i="29"/>
  <c r="V21" i="29"/>
  <c r="N22" i="29"/>
  <c r="O22" i="29"/>
  <c r="P22" i="29"/>
  <c r="Q22" i="29"/>
  <c r="R22" i="29"/>
  <c r="S22" i="29"/>
  <c r="T22" i="29"/>
  <c r="U22" i="29"/>
  <c r="V22" i="29"/>
  <c r="N23" i="29"/>
  <c r="O23" i="29"/>
  <c r="P23" i="29"/>
  <c r="Q23" i="29"/>
  <c r="R23" i="29"/>
  <c r="S23" i="29"/>
  <c r="T23" i="29"/>
  <c r="U23" i="29"/>
  <c r="V23" i="29"/>
  <c r="N24" i="29"/>
  <c r="O24" i="29"/>
  <c r="P24" i="29"/>
  <c r="Q24" i="29"/>
  <c r="R24" i="29"/>
  <c r="S24" i="29"/>
  <c r="T24" i="29"/>
  <c r="U24" i="29"/>
  <c r="V24" i="29"/>
  <c r="N25" i="29"/>
  <c r="O25" i="29"/>
  <c r="P25" i="29"/>
  <c r="Q25" i="29"/>
  <c r="R25" i="29"/>
  <c r="S25" i="29"/>
  <c r="T25" i="29"/>
  <c r="U25" i="29"/>
  <c r="V25" i="29"/>
  <c r="N26" i="29"/>
  <c r="O26" i="29"/>
  <c r="P26" i="29"/>
  <c r="Q26" i="29"/>
  <c r="R26" i="29"/>
  <c r="S26" i="29"/>
  <c r="T26" i="29"/>
  <c r="U26" i="29"/>
  <c r="V26" i="29"/>
  <c r="N27" i="29"/>
  <c r="O27" i="29"/>
  <c r="P27" i="29"/>
  <c r="Q27" i="29"/>
  <c r="R27" i="29"/>
  <c r="S27" i="29"/>
  <c r="T27" i="29"/>
  <c r="U27" i="29"/>
  <c r="V27" i="29"/>
  <c r="N28" i="29"/>
  <c r="O28" i="29"/>
  <c r="P28" i="29"/>
  <c r="Q28" i="29"/>
  <c r="R28" i="29"/>
  <c r="S28" i="29"/>
  <c r="T28" i="29"/>
  <c r="U28" i="29"/>
  <c r="V28" i="29"/>
  <c r="N29" i="29"/>
  <c r="O29" i="29"/>
  <c r="P29" i="29"/>
  <c r="Q29" i="29"/>
  <c r="R29" i="29"/>
  <c r="S29" i="29"/>
  <c r="T29" i="29"/>
  <c r="U29" i="29"/>
  <c r="V29" i="29"/>
  <c r="N30" i="29"/>
  <c r="O30" i="29"/>
  <c r="P30" i="29"/>
  <c r="Q30" i="29"/>
  <c r="R30" i="29"/>
  <c r="S30" i="29"/>
  <c r="T30" i="29"/>
  <c r="U30" i="29"/>
  <c r="V30" i="29"/>
  <c r="N31" i="29"/>
  <c r="O31" i="29"/>
  <c r="P31" i="29"/>
  <c r="Q31" i="29"/>
  <c r="R31" i="29"/>
  <c r="S31" i="29"/>
  <c r="T31" i="29"/>
  <c r="U31" i="29"/>
  <c r="V31" i="29"/>
  <c r="N32" i="29"/>
  <c r="O32" i="29"/>
  <c r="P32" i="29"/>
  <c r="Q32" i="29"/>
  <c r="R32" i="29"/>
  <c r="S32" i="29"/>
  <c r="T32" i="29"/>
  <c r="U32" i="29"/>
  <c r="V32" i="29"/>
  <c r="N33" i="29"/>
  <c r="O33" i="29"/>
  <c r="P33" i="29"/>
  <c r="Q33" i="29"/>
  <c r="R33" i="29"/>
  <c r="S33" i="29"/>
  <c r="T33" i="29"/>
  <c r="U33" i="29"/>
  <c r="V33" i="29"/>
  <c r="N34" i="29"/>
  <c r="O34" i="29"/>
  <c r="P34" i="29"/>
  <c r="Q34" i="29"/>
  <c r="R34" i="29"/>
  <c r="S34" i="29"/>
  <c r="T34" i="29"/>
  <c r="U34" i="29"/>
  <c r="V34" i="29"/>
  <c r="N35" i="29"/>
  <c r="O35" i="29"/>
  <c r="P35" i="29"/>
  <c r="Q35" i="29"/>
  <c r="R35" i="29"/>
  <c r="S35" i="29"/>
  <c r="T35" i="29"/>
  <c r="U35" i="29"/>
  <c r="V35" i="29"/>
  <c r="B36" i="29"/>
  <c r="C36" i="29"/>
  <c r="D36" i="29"/>
  <c r="E36" i="29"/>
  <c r="P36" i="29" s="1"/>
  <c r="F36" i="29"/>
  <c r="G36" i="29"/>
  <c r="H36" i="29"/>
  <c r="I36" i="29"/>
  <c r="J36" i="29"/>
  <c r="K36" i="29"/>
  <c r="L36" i="29"/>
  <c r="M36" i="29"/>
  <c r="V36" i="29" s="1"/>
  <c r="G35" i="4"/>
  <c r="H35" i="4"/>
  <c r="I35" i="4"/>
  <c r="J35" i="4"/>
  <c r="K35" i="4"/>
  <c r="B51" i="4"/>
  <c r="C51" i="4"/>
  <c r="D51" i="4"/>
  <c r="E51" i="4"/>
  <c r="F51" i="4"/>
  <c r="G51" i="4"/>
  <c r="H51" i="4"/>
  <c r="I51" i="4"/>
  <c r="J51" i="4"/>
  <c r="K51" i="4"/>
  <c r="B52" i="4"/>
  <c r="C52" i="4"/>
  <c r="D52" i="4"/>
  <c r="E52" i="4"/>
  <c r="F52" i="4"/>
  <c r="G52" i="4"/>
  <c r="H52" i="4"/>
  <c r="I52" i="4"/>
  <c r="J52" i="4"/>
  <c r="K52" i="4"/>
  <c r="B53" i="4"/>
  <c r="C53" i="4"/>
  <c r="D53" i="4"/>
  <c r="E53" i="4"/>
  <c r="F53" i="4"/>
  <c r="G53" i="4"/>
  <c r="H53" i="4"/>
  <c r="I53" i="4"/>
  <c r="J53" i="4"/>
  <c r="K53" i="4"/>
  <c r="B54" i="4"/>
  <c r="C54" i="4"/>
  <c r="D54" i="4"/>
  <c r="E54" i="4"/>
  <c r="F54" i="4"/>
  <c r="G54" i="4"/>
  <c r="H54" i="4"/>
  <c r="I54" i="4"/>
  <c r="J54" i="4"/>
  <c r="K54" i="4"/>
  <c r="B55" i="4"/>
  <c r="C55" i="4"/>
  <c r="D55" i="4"/>
  <c r="E55" i="4"/>
  <c r="F55" i="4"/>
  <c r="G55" i="4"/>
  <c r="H55" i="4"/>
  <c r="I55" i="4"/>
  <c r="J55" i="4"/>
  <c r="K55" i="4"/>
  <c r="B56" i="4"/>
  <c r="C56" i="4"/>
  <c r="D56" i="4"/>
  <c r="E56" i="4"/>
  <c r="F56" i="4"/>
  <c r="G56" i="4"/>
  <c r="H56" i="4"/>
  <c r="I56" i="4"/>
  <c r="J56" i="4"/>
  <c r="K56" i="4"/>
  <c r="B57" i="4"/>
  <c r="C57" i="4"/>
  <c r="D57" i="4"/>
  <c r="E57" i="4"/>
  <c r="F57" i="4"/>
  <c r="G57" i="4"/>
  <c r="H57" i="4"/>
  <c r="I57" i="4"/>
  <c r="J57" i="4"/>
  <c r="K57" i="4"/>
  <c r="B58" i="4"/>
  <c r="C58" i="4"/>
  <c r="D58" i="4"/>
  <c r="E58" i="4"/>
  <c r="F58" i="4"/>
  <c r="G58" i="4"/>
  <c r="H58" i="4"/>
  <c r="I58" i="4"/>
  <c r="J58" i="4"/>
  <c r="K58" i="4"/>
  <c r="B59" i="4"/>
  <c r="C59" i="4"/>
  <c r="D59" i="4"/>
  <c r="E59" i="4"/>
  <c r="F59" i="4"/>
  <c r="G59" i="4"/>
  <c r="H59" i="4"/>
  <c r="I59" i="4"/>
  <c r="J59" i="4"/>
  <c r="K59" i="4"/>
  <c r="B60" i="4"/>
  <c r="C60" i="4"/>
  <c r="D60" i="4"/>
  <c r="E60" i="4"/>
  <c r="F60" i="4"/>
  <c r="G60" i="4"/>
  <c r="H60" i="4"/>
  <c r="I60" i="4"/>
  <c r="J60" i="4"/>
  <c r="K60" i="4"/>
  <c r="B61" i="4"/>
  <c r="C61" i="4"/>
  <c r="D61" i="4"/>
  <c r="E61" i="4"/>
  <c r="F61" i="4"/>
  <c r="G61" i="4"/>
  <c r="H61" i="4"/>
  <c r="I61" i="4"/>
  <c r="J61" i="4"/>
  <c r="K61" i="4"/>
  <c r="B62" i="4"/>
  <c r="C62" i="4"/>
  <c r="D62" i="4"/>
  <c r="E62" i="4"/>
  <c r="F62" i="4"/>
  <c r="G62" i="4"/>
  <c r="H62" i="4"/>
  <c r="I62" i="4"/>
  <c r="J62" i="4"/>
  <c r="K62" i="4"/>
  <c r="B63" i="4"/>
  <c r="C63" i="4"/>
  <c r="D63" i="4"/>
  <c r="E63" i="4"/>
  <c r="F63" i="4"/>
  <c r="G63" i="4"/>
  <c r="H63" i="4"/>
  <c r="I63" i="4"/>
  <c r="J63" i="4"/>
  <c r="K63" i="4"/>
  <c r="B64" i="4"/>
  <c r="C64" i="4"/>
  <c r="D64" i="4"/>
  <c r="E64" i="4"/>
  <c r="F64" i="4"/>
  <c r="G64" i="4"/>
  <c r="H64" i="4"/>
  <c r="I64" i="4"/>
  <c r="J64" i="4"/>
  <c r="K64" i="4"/>
  <c r="B65" i="4"/>
  <c r="C65" i="4"/>
  <c r="D65" i="4"/>
  <c r="E65" i="4"/>
  <c r="F65" i="4"/>
  <c r="G65" i="4"/>
  <c r="H65" i="4"/>
  <c r="I65" i="4"/>
  <c r="J65" i="4"/>
  <c r="K65" i="4"/>
  <c r="B66" i="4"/>
  <c r="C66" i="4"/>
  <c r="D66" i="4"/>
  <c r="E66" i="4"/>
  <c r="F66" i="4"/>
  <c r="G66" i="4"/>
  <c r="H66" i="4"/>
  <c r="I66" i="4"/>
  <c r="J66" i="4"/>
  <c r="K66" i="4"/>
  <c r="B67" i="4"/>
  <c r="C67" i="4"/>
  <c r="D67" i="4"/>
  <c r="E67" i="4"/>
  <c r="F67" i="4"/>
  <c r="G67" i="4"/>
  <c r="H67" i="4"/>
  <c r="I67" i="4"/>
  <c r="J67" i="4"/>
  <c r="K67" i="4"/>
  <c r="B68" i="4"/>
  <c r="C68" i="4"/>
  <c r="D68" i="4"/>
  <c r="E68" i="4"/>
  <c r="F68" i="4"/>
  <c r="G68" i="4"/>
  <c r="H68" i="4"/>
  <c r="I68" i="4"/>
  <c r="J68" i="4"/>
  <c r="K68" i="4"/>
  <c r="B69" i="4"/>
  <c r="C69" i="4"/>
  <c r="D69" i="4"/>
  <c r="E69" i="4"/>
  <c r="F69" i="4"/>
  <c r="G69" i="4"/>
  <c r="H69" i="4"/>
  <c r="I69" i="4"/>
  <c r="J69" i="4"/>
  <c r="K69" i="4"/>
  <c r="B70" i="4"/>
  <c r="C70" i="4"/>
  <c r="D70" i="4"/>
  <c r="E70" i="4"/>
  <c r="F70" i="4"/>
  <c r="G70" i="4"/>
  <c r="H70" i="4"/>
  <c r="I70" i="4"/>
  <c r="J70" i="4"/>
  <c r="K70" i="4"/>
  <c r="B71" i="4"/>
  <c r="C71" i="4"/>
  <c r="D71" i="4"/>
  <c r="E71" i="4"/>
  <c r="F71" i="4"/>
  <c r="G71" i="4"/>
  <c r="H71" i="4"/>
  <c r="I71" i="4"/>
  <c r="J71" i="4"/>
  <c r="K71" i="4"/>
  <c r="B72" i="4"/>
  <c r="C72" i="4"/>
  <c r="D72" i="4"/>
  <c r="E72" i="4"/>
  <c r="F72" i="4"/>
  <c r="G72" i="4"/>
  <c r="H72" i="4"/>
  <c r="I72" i="4"/>
  <c r="J72" i="4"/>
  <c r="K72" i="4"/>
  <c r="B73" i="4"/>
  <c r="C73" i="4"/>
  <c r="D73" i="4"/>
  <c r="E73" i="4"/>
  <c r="F73" i="4"/>
  <c r="G73" i="4"/>
  <c r="H73" i="4"/>
  <c r="I73" i="4"/>
  <c r="J73" i="4"/>
  <c r="K73" i="4"/>
  <c r="B74" i="4"/>
  <c r="C74" i="4"/>
  <c r="D74" i="4"/>
  <c r="E74" i="4"/>
  <c r="F74" i="4"/>
  <c r="G74" i="4"/>
  <c r="H74" i="4"/>
  <c r="I74" i="4"/>
  <c r="J74" i="4"/>
  <c r="K74" i="4"/>
  <c r="B75" i="4"/>
  <c r="C75" i="4"/>
  <c r="D75" i="4"/>
  <c r="E75" i="4"/>
  <c r="F75" i="4"/>
  <c r="G75" i="4"/>
  <c r="H75" i="4"/>
  <c r="I75" i="4"/>
  <c r="J75" i="4"/>
  <c r="K75" i="4"/>
  <c r="B76" i="4"/>
  <c r="C76" i="4"/>
  <c r="D76" i="4"/>
  <c r="E76" i="4"/>
  <c r="F76" i="4"/>
  <c r="G76" i="4"/>
  <c r="H76" i="4"/>
  <c r="I76" i="4"/>
  <c r="J76" i="4"/>
  <c r="K76" i="4"/>
  <c r="B77" i="4"/>
  <c r="C77" i="4"/>
  <c r="D77" i="4"/>
  <c r="E77" i="4"/>
  <c r="F77" i="4"/>
  <c r="G77" i="4"/>
  <c r="H77" i="4"/>
  <c r="I77" i="4"/>
  <c r="J77" i="4"/>
  <c r="K77" i="4"/>
  <c r="B78" i="4"/>
  <c r="C78" i="4"/>
  <c r="D78" i="4"/>
  <c r="E78" i="4"/>
  <c r="F78" i="4"/>
  <c r="G78" i="4"/>
  <c r="H78" i="4"/>
  <c r="I78" i="4"/>
  <c r="J78" i="4"/>
  <c r="K78" i="4"/>
  <c r="B79" i="4"/>
  <c r="C79" i="4"/>
  <c r="D79" i="4"/>
  <c r="E79" i="4"/>
  <c r="F79" i="4"/>
  <c r="G79" i="4"/>
  <c r="H79" i="4"/>
  <c r="I79" i="4"/>
  <c r="J79" i="4"/>
  <c r="K79" i="4"/>
  <c r="B80" i="4"/>
  <c r="C80" i="4"/>
  <c r="D80" i="4"/>
  <c r="E80" i="4"/>
  <c r="F80" i="4"/>
  <c r="G80" i="4"/>
  <c r="H80" i="4"/>
  <c r="I80" i="4"/>
  <c r="J80" i="4"/>
  <c r="K80" i="4"/>
  <c r="B81" i="4"/>
  <c r="C81" i="4"/>
  <c r="D81" i="4"/>
  <c r="E81" i="4"/>
  <c r="F81" i="4"/>
  <c r="G81" i="4"/>
  <c r="H81" i="4"/>
  <c r="I81" i="4"/>
  <c r="J81" i="4"/>
  <c r="K81" i="4"/>
  <c r="B82" i="4"/>
  <c r="C82" i="4"/>
  <c r="D82" i="4"/>
  <c r="E82" i="4"/>
  <c r="F82" i="4"/>
  <c r="G82" i="4"/>
  <c r="H82" i="4"/>
  <c r="I82" i="4"/>
  <c r="J82" i="4"/>
  <c r="K82" i="4"/>
  <c r="B83" i="4"/>
  <c r="C83" i="4"/>
  <c r="D83" i="4"/>
  <c r="E83" i="4"/>
  <c r="F83" i="4"/>
  <c r="G83" i="4"/>
  <c r="H83" i="4"/>
  <c r="I83" i="4"/>
  <c r="J83" i="4"/>
  <c r="K83" i="4"/>
  <c r="Q119" i="31"/>
  <c r="A166" i="1"/>
  <c r="A873" i="1"/>
  <c r="A947" i="1"/>
  <c r="D20" i="3"/>
  <c r="A132" i="31"/>
  <c r="N20" i="3"/>
  <c r="R20" i="3"/>
  <c r="A745" i="31"/>
  <c r="L5" i="32"/>
  <c r="L6" i="32"/>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M41" i="33"/>
  <c r="M42" i="33"/>
  <c r="M43" i="33"/>
  <c r="M44" i="33"/>
  <c r="M47" i="33"/>
  <c r="M48" i="33"/>
  <c r="M49" i="33"/>
  <c r="M50" i="33"/>
  <c r="A26" i="31"/>
  <c r="C28" i="31"/>
  <c r="D28" i="31"/>
  <c r="E28" i="31"/>
  <c r="F28" i="31"/>
  <c r="G28" i="31"/>
  <c r="H28" i="31"/>
  <c r="A38" i="31"/>
  <c r="I38" i="31"/>
  <c r="C40" i="31"/>
  <c r="D40" i="31"/>
  <c r="E40" i="31"/>
  <c r="F40" i="31"/>
  <c r="G40" i="31"/>
  <c r="H40" i="31"/>
  <c r="C41" i="31"/>
  <c r="L78" i="31" s="1"/>
  <c r="D41" i="31"/>
  <c r="E41" i="31"/>
  <c r="F41" i="31"/>
  <c r="G41" i="31"/>
  <c r="H41" i="31"/>
  <c r="L79" i="31" s="1"/>
  <c r="C42" i="31"/>
  <c r="D42" i="31"/>
  <c r="E42" i="31"/>
  <c r="F42" i="31"/>
  <c r="G42" i="31"/>
  <c r="H42" i="31"/>
  <c r="C43" i="31"/>
  <c r="M78" i="31" s="1"/>
  <c r="D43" i="31"/>
  <c r="E43" i="31"/>
  <c r="F43" i="31"/>
  <c r="G43" i="31"/>
  <c r="H43" i="31"/>
  <c r="M79" i="31" s="1"/>
  <c r="C44" i="31"/>
  <c r="N78" i="31" s="1"/>
  <c r="D44" i="31"/>
  <c r="E44" i="31"/>
  <c r="F44" i="31"/>
  <c r="G44" i="31"/>
  <c r="H44" i="31"/>
  <c r="C45" i="31"/>
  <c r="D45" i="31"/>
  <c r="E45" i="31"/>
  <c r="F45" i="31"/>
  <c r="G45" i="31"/>
  <c r="H45" i="31"/>
  <c r="C46" i="31"/>
  <c r="D46" i="31"/>
  <c r="E46" i="31"/>
  <c r="F46" i="31"/>
  <c r="G46" i="31"/>
  <c r="H46" i="31"/>
  <c r="C47" i="31"/>
  <c r="O78" i="31" s="1"/>
  <c r="D47" i="31"/>
  <c r="E47" i="31"/>
  <c r="F47" i="31"/>
  <c r="G47" i="31"/>
  <c r="H47" i="31"/>
  <c r="C48" i="31"/>
  <c r="P78" i="31" s="1"/>
  <c r="D48" i="31"/>
  <c r="E48" i="31"/>
  <c r="F48" i="31"/>
  <c r="G48" i="31"/>
  <c r="H48" i="31"/>
  <c r="C49" i="31"/>
  <c r="D49" i="31"/>
  <c r="E49" i="31"/>
  <c r="F49" i="31"/>
  <c r="G49" i="31"/>
  <c r="H49" i="31"/>
  <c r="C50" i="31"/>
  <c r="D50" i="31"/>
  <c r="E50" i="31"/>
  <c r="F50" i="31"/>
  <c r="G50" i="31"/>
  <c r="H50" i="31"/>
  <c r="C51" i="31"/>
  <c r="D51" i="31"/>
  <c r="E51" i="31"/>
  <c r="F51" i="31"/>
  <c r="G51" i="31"/>
  <c r="H51" i="31"/>
  <c r="A53" i="31"/>
  <c r="A55" i="31"/>
  <c r="I55" i="31"/>
  <c r="L57" i="31"/>
  <c r="M57" i="31"/>
  <c r="N57" i="31"/>
  <c r="O57" i="31"/>
  <c r="P57" i="31"/>
  <c r="Q57" i="31"/>
  <c r="L58" i="31"/>
  <c r="M58" i="31"/>
  <c r="N58" i="31"/>
  <c r="O58" i="31"/>
  <c r="P58" i="31"/>
  <c r="Q58" i="31"/>
  <c r="L59" i="31"/>
  <c r="C59" i="31" s="1"/>
  <c r="M59" i="31"/>
  <c r="N59" i="31"/>
  <c r="O59" i="31"/>
  <c r="P59" i="31"/>
  <c r="Q59" i="31"/>
  <c r="L60" i="31"/>
  <c r="M60" i="31"/>
  <c r="N60" i="31"/>
  <c r="O60" i="31"/>
  <c r="P60" i="31"/>
  <c r="Q60" i="31"/>
  <c r="L61" i="31"/>
  <c r="C61" i="31" s="1"/>
  <c r="M61" i="31"/>
  <c r="N61" i="31"/>
  <c r="O61" i="31"/>
  <c r="P61" i="31"/>
  <c r="Q61" i="31"/>
  <c r="L62" i="31"/>
  <c r="M62" i="31"/>
  <c r="N62" i="31"/>
  <c r="O62" i="31"/>
  <c r="P62" i="31"/>
  <c r="Q62" i="31"/>
  <c r="L63" i="31"/>
  <c r="M63" i="31"/>
  <c r="N63" i="31"/>
  <c r="O63" i="31"/>
  <c r="P63" i="31"/>
  <c r="Q63" i="31"/>
  <c r="I68" i="31"/>
  <c r="A68" i="31" s="1"/>
  <c r="J78" i="31"/>
  <c r="J79" i="31"/>
  <c r="N79" i="31"/>
  <c r="P79" i="31"/>
  <c r="J119" i="31"/>
  <c r="L119" i="31"/>
  <c r="M119" i="31"/>
  <c r="N119" i="31"/>
  <c r="O119" i="31"/>
  <c r="P119" i="31"/>
  <c r="L120" i="31"/>
  <c r="M120" i="31"/>
  <c r="N120" i="31"/>
  <c r="O120" i="31"/>
  <c r="P120" i="31"/>
  <c r="Q120" i="31"/>
  <c r="A131" i="31"/>
  <c r="J142" i="31"/>
  <c r="L142" i="31"/>
  <c r="M142" i="31"/>
  <c r="N142" i="31"/>
  <c r="O142" i="31"/>
  <c r="P142" i="31"/>
  <c r="Q142" i="31"/>
  <c r="A156" i="31"/>
  <c r="A181" i="31"/>
  <c r="J191" i="31"/>
  <c r="L191" i="31"/>
  <c r="M191" i="31"/>
  <c r="N191" i="31"/>
  <c r="O191" i="31"/>
  <c r="P191" i="31"/>
  <c r="M192" i="31"/>
  <c r="O192" i="31"/>
  <c r="M193" i="31"/>
  <c r="N193" i="31"/>
  <c r="O193" i="31"/>
  <c r="M194" i="31"/>
  <c r="O194" i="31"/>
  <c r="K209" i="31"/>
  <c r="K210" i="31"/>
  <c r="K218" i="31"/>
  <c r="L218" i="31"/>
  <c r="M218" i="31"/>
  <c r="N218" i="31"/>
  <c r="O218" i="31"/>
  <c r="Q218" i="31" s="1"/>
  <c r="K219" i="31"/>
  <c r="L219" i="31"/>
  <c r="M219" i="31"/>
  <c r="N219" i="31"/>
  <c r="O219" i="31"/>
  <c r="Q219" i="31" s="1"/>
  <c r="R219" i="31" s="1"/>
  <c r="K220" i="31"/>
  <c r="L220" i="31"/>
  <c r="M220" i="31"/>
  <c r="N220" i="31"/>
  <c r="O220" i="31"/>
  <c r="Q220" i="31" s="1"/>
  <c r="R220" i="31" s="1"/>
  <c r="A250" i="31"/>
  <c r="A273" i="31"/>
  <c r="A303" i="31"/>
  <c r="A304" i="31"/>
  <c r="A305" i="31"/>
  <c r="A306" i="31"/>
  <c r="A307" i="31"/>
  <c r="A308" i="31"/>
  <c r="A336" i="31"/>
  <c r="K394" i="31"/>
  <c r="L394" i="31"/>
  <c r="M394" i="31"/>
  <c r="N394" i="31"/>
  <c r="O394" i="31"/>
  <c r="P394" i="31"/>
  <c r="L395" i="31"/>
  <c r="P395" i="31"/>
  <c r="K396" i="31"/>
  <c r="L396" i="31"/>
  <c r="M396" i="31"/>
  <c r="N396" i="31"/>
  <c r="O396" i="31"/>
  <c r="P396" i="31"/>
  <c r="J411" i="31"/>
  <c r="L411" i="31"/>
  <c r="M411" i="31"/>
  <c r="N411" i="31"/>
  <c r="O411" i="31"/>
  <c r="P411" i="31"/>
  <c r="Q411" i="31"/>
  <c r="L412" i="31"/>
  <c r="M412" i="31"/>
  <c r="N412" i="31"/>
  <c r="O412" i="31"/>
  <c r="P412" i="31"/>
  <c r="Q412" i="31"/>
  <c r="A425" i="31"/>
  <c r="A426" i="31"/>
  <c r="J436" i="31"/>
  <c r="L436" i="31"/>
  <c r="M436" i="31"/>
  <c r="N436" i="31"/>
  <c r="O436" i="31"/>
  <c r="P436" i="31"/>
  <c r="Q436" i="31"/>
  <c r="M437" i="31"/>
  <c r="N437" i="31"/>
  <c r="O437" i="31"/>
  <c r="P437" i="31"/>
  <c r="Q437" i="31"/>
  <c r="L438" i="31"/>
  <c r="M438" i="31"/>
  <c r="O438" i="31"/>
  <c r="P438" i="31"/>
  <c r="Q438" i="31"/>
  <c r="M439" i="31"/>
  <c r="N439" i="31"/>
  <c r="O439" i="31"/>
  <c r="P439" i="31"/>
  <c r="Q439" i="31"/>
  <c r="A451" i="31"/>
  <c r="K486" i="31"/>
  <c r="L486" i="31"/>
  <c r="M486" i="31"/>
  <c r="N486" i="31"/>
  <c r="O486" i="31"/>
  <c r="P486" i="31"/>
  <c r="Q486" i="31"/>
  <c r="L487" i="31"/>
  <c r="M487" i="31"/>
  <c r="N487" i="31"/>
  <c r="O487" i="31"/>
  <c r="P487" i="31"/>
  <c r="Q487" i="31"/>
  <c r="A527" i="31" s="1"/>
  <c r="L488" i="31"/>
  <c r="M488" i="31"/>
  <c r="N488" i="31"/>
  <c r="O488" i="31"/>
  <c r="P488" i="31"/>
  <c r="Q488" i="31"/>
  <c r="L489" i="31"/>
  <c r="M489" i="31"/>
  <c r="N489" i="31"/>
  <c r="O489" i="31"/>
  <c r="P489" i="31"/>
  <c r="Q489" i="31"/>
  <c r="A500" i="31"/>
  <c r="A528" i="31"/>
  <c r="K531" i="31"/>
  <c r="L531" i="31"/>
  <c r="M531" i="31"/>
  <c r="N531" i="31"/>
  <c r="O531" i="31"/>
  <c r="P531" i="31"/>
  <c r="L532" i="31"/>
  <c r="M532" i="31"/>
  <c r="N532" i="31"/>
  <c r="O532" i="31"/>
  <c r="P532" i="31"/>
  <c r="A570" i="31" s="1"/>
  <c r="L533" i="31"/>
  <c r="M533" i="31"/>
  <c r="N533" i="31"/>
  <c r="O533" i="31"/>
  <c r="P533" i="31"/>
  <c r="L534" i="31"/>
  <c r="M534" i="31"/>
  <c r="N534" i="31"/>
  <c r="O534" i="31"/>
  <c r="P534" i="31"/>
  <c r="A545" i="31"/>
  <c r="A546" i="31"/>
  <c r="A547" i="31"/>
  <c r="L578" i="31"/>
  <c r="M578" i="31"/>
  <c r="N578" i="31"/>
  <c r="O578" i="31"/>
  <c r="P578" i="31"/>
  <c r="Q578" i="31"/>
  <c r="K579" i="31"/>
  <c r="L579" i="31"/>
  <c r="M579" i="31"/>
  <c r="N579" i="31"/>
  <c r="O579" i="31"/>
  <c r="P579" i="31"/>
  <c r="Q579" i="31"/>
  <c r="M580" i="31"/>
  <c r="O580" i="31"/>
  <c r="Q580" i="31"/>
  <c r="M581" i="31"/>
  <c r="O581" i="31"/>
  <c r="Q581" i="31"/>
  <c r="M582" i="31"/>
  <c r="O582" i="31"/>
  <c r="Q582" i="31"/>
  <c r="A592" i="31"/>
  <c r="A618" i="31"/>
  <c r="K624" i="31"/>
  <c r="L624" i="31"/>
  <c r="M624" i="31"/>
  <c r="N624" i="31"/>
  <c r="O624" i="31"/>
  <c r="P624" i="31"/>
  <c r="Q624" i="31"/>
  <c r="L625" i="31"/>
  <c r="M625" i="31"/>
  <c r="N625" i="31"/>
  <c r="O625" i="31"/>
  <c r="P625" i="31"/>
  <c r="Q625" i="31"/>
  <c r="L626" i="31"/>
  <c r="M626" i="31"/>
  <c r="N626" i="31"/>
  <c r="O626" i="31"/>
  <c r="P626" i="31"/>
  <c r="Q626" i="31"/>
  <c r="L627" i="31"/>
  <c r="M627" i="31"/>
  <c r="N627" i="31"/>
  <c r="O627" i="31"/>
  <c r="P627" i="31"/>
  <c r="Q627" i="31"/>
  <c r="A638" i="31"/>
  <c r="A665" i="31"/>
  <c r="A690" i="31"/>
  <c r="A691" i="31"/>
  <c r="K691" i="31"/>
  <c r="A692" i="31"/>
  <c r="O720" i="31"/>
  <c r="A719" i="31" s="1"/>
  <c r="L720" i="31"/>
  <c r="M720" i="31"/>
  <c r="N720" i="31"/>
  <c r="J730" i="31"/>
  <c r="L730" i="31"/>
  <c r="M730" i="31"/>
  <c r="N730" i="31"/>
  <c r="O730" i="31"/>
  <c r="P730" i="31"/>
  <c r="Q730" i="31"/>
  <c r="L731" i="31"/>
  <c r="M731" i="31"/>
  <c r="N731" i="31"/>
  <c r="O731" i="31"/>
  <c r="P731" i="31"/>
  <c r="Q731" i="31"/>
  <c r="A744" i="31"/>
  <c r="J755" i="31"/>
  <c r="L755" i="31"/>
  <c r="M755" i="31"/>
  <c r="N755" i="31"/>
  <c r="O755" i="31"/>
  <c r="P755" i="31"/>
  <c r="Q755" i="31"/>
  <c r="M756" i="31"/>
  <c r="N756" i="31"/>
  <c r="Q756" i="31"/>
  <c r="L757" i="31"/>
  <c r="O757" i="31"/>
  <c r="P757" i="31"/>
  <c r="M758" i="31"/>
  <c r="N758" i="31"/>
  <c r="Q758" i="31"/>
  <c r="A766" i="31"/>
  <c r="L802" i="31"/>
  <c r="M802" i="31"/>
  <c r="N802" i="31"/>
  <c r="O802" i="31"/>
  <c r="P802" i="31"/>
  <c r="Q802" i="31"/>
  <c r="R802" i="31"/>
  <c r="M803" i="31"/>
  <c r="N803" i="31"/>
  <c r="O803" i="31"/>
  <c r="P803" i="31"/>
  <c r="Q803" i="31"/>
  <c r="R803" i="31"/>
  <c r="A818" i="31"/>
  <c r="A819" i="31"/>
  <c r="K833" i="31"/>
  <c r="L833" i="31"/>
  <c r="M833" i="31"/>
  <c r="N833" i="31"/>
  <c r="O833" i="31"/>
  <c r="P833" i="31"/>
  <c r="Q833" i="31"/>
  <c r="A843" i="31"/>
  <c r="A869" i="31"/>
  <c r="K878" i="31"/>
  <c r="L878" i="31"/>
  <c r="M878" i="31"/>
  <c r="N878" i="31"/>
  <c r="O878" i="31"/>
  <c r="P878" i="31"/>
  <c r="Q878" i="31"/>
  <c r="L879" i="31"/>
  <c r="M879" i="31"/>
  <c r="N879" i="31"/>
  <c r="O879" i="31"/>
  <c r="P879" i="31"/>
  <c r="Q879" i="31"/>
  <c r="A892" i="31"/>
  <c r="A893" i="31"/>
  <c r="K906" i="31"/>
  <c r="L906" i="31"/>
  <c r="M906" i="31"/>
  <c r="N906" i="31"/>
  <c r="O906" i="31"/>
  <c r="P906" i="31"/>
  <c r="Q906" i="31"/>
  <c r="L907" i="31"/>
  <c r="A918" i="31" s="1"/>
  <c r="N907" i="31"/>
  <c r="O907" i="31"/>
  <c r="P907" i="31"/>
  <c r="Q907" i="31"/>
  <c r="L908" i="31"/>
  <c r="M908" i="31"/>
  <c r="N908" i="31"/>
  <c r="O908" i="31"/>
  <c r="P908" i="31"/>
  <c r="Q908" i="31"/>
  <c r="L909" i="31"/>
  <c r="N909" i="31"/>
  <c r="O909" i="31"/>
  <c r="P909" i="31"/>
  <c r="Q909" i="31"/>
  <c r="A917" i="31"/>
  <c r="A945" i="31"/>
  <c r="A16" i="1"/>
  <c r="A31" i="1"/>
  <c r="A28" i="1" s="1"/>
  <c r="A33" i="1"/>
  <c r="L45" i="1"/>
  <c r="A45" i="1" s="1"/>
  <c r="M50" i="1"/>
  <c r="A72" i="1"/>
  <c r="O114" i="1"/>
  <c r="P114" i="1"/>
  <c r="Q114" i="1"/>
  <c r="R114" i="1"/>
  <c r="S114" i="1"/>
  <c r="C94" i="1"/>
  <c r="H95" i="1"/>
  <c r="M114" i="1"/>
  <c r="M153" i="1"/>
  <c r="O153" i="1"/>
  <c r="P153" i="1"/>
  <c r="Q153" i="1"/>
  <c r="R153" i="1"/>
  <c r="S153" i="1"/>
  <c r="T153" i="1"/>
  <c r="O154" i="1"/>
  <c r="P154" i="1"/>
  <c r="Q154" i="1"/>
  <c r="R154" i="1"/>
  <c r="S154" i="1"/>
  <c r="T154" i="1"/>
  <c r="A167" i="1"/>
  <c r="M176" i="1"/>
  <c r="M225" i="1"/>
  <c r="N242" i="1"/>
  <c r="N243" i="1"/>
  <c r="N251" i="1"/>
  <c r="W251" i="1" s="1"/>
  <c r="O251" i="1"/>
  <c r="P251" i="1"/>
  <c r="Q251" i="1"/>
  <c r="R251" i="1"/>
  <c r="N252" i="1"/>
  <c r="W252" i="1" s="1"/>
  <c r="O252" i="1"/>
  <c r="P252" i="1"/>
  <c r="Q252" i="1"/>
  <c r="R252" i="1"/>
  <c r="N253" i="1"/>
  <c r="W253" i="1" s="1"/>
  <c r="O253" i="1"/>
  <c r="P253" i="1"/>
  <c r="Q253" i="1"/>
  <c r="R253" i="1"/>
  <c r="A257" i="1"/>
  <c r="M448" i="1"/>
  <c r="N448" i="1"/>
  <c r="O448" i="1"/>
  <c r="Q448" i="1"/>
  <c r="R448" i="1"/>
  <c r="S448" i="1"/>
  <c r="O449" i="1"/>
  <c r="S449" i="1"/>
  <c r="M467" i="1"/>
  <c r="O467" i="1"/>
  <c r="P467" i="1"/>
  <c r="Q467" i="1"/>
  <c r="R467" i="1"/>
  <c r="S467" i="1"/>
  <c r="T467" i="1"/>
  <c r="U467" i="1"/>
  <c r="O468" i="1"/>
  <c r="P468" i="1"/>
  <c r="Q468" i="1"/>
  <c r="R468" i="1"/>
  <c r="S468" i="1"/>
  <c r="T468" i="1"/>
  <c r="A482" i="1"/>
  <c r="A483" i="1"/>
  <c r="M492" i="1"/>
  <c r="N541" i="1"/>
  <c r="O542" i="1"/>
  <c r="A557" i="1" s="1"/>
  <c r="P542" i="1"/>
  <c r="Q542" i="1"/>
  <c r="R542" i="1"/>
  <c r="S542" i="1"/>
  <c r="T542" i="1"/>
  <c r="O543" i="1"/>
  <c r="P543" i="1"/>
  <c r="Q543" i="1"/>
  <c r="R543" i="1"/>
  <c r="S543" i="1"/>
  <c r="T543" i="1"/>
  <c r="O544" i="1"/>
  <c r="P544" i="1"/>
  <c r="Q544" i="1"/>
  <c r="R544" i="1"/>
  <c r="S544" i="1"/>
  <c r="T544" i="1"/>
  <c r="A555" i="1"/>
  <c r="N585" i="1"/>
  <c r="O586" i="1"/>
  <c r="A601" i="1" s="1"/>
  <c r="P586" i="1"/>
  <c r="Q586" i="1"/>
  <c r="R586" i="1"/>
  <c r="S586" i="1"/>
  <c r="T586" i="1"/>
  <c r="O587" i="1"/>
  <c r="P587" i="1"/>
  <c r="Q587" i="1"/>
  <c r="R587" i="1"/>
  <c r="S587" i="1"/>
  <c r="T587" i="1"/>
  <c r="O588" i="1"/>
  <c r="P588" i="1"/>
  <c r="Q588" i="1"/>
  <c r="R588" i="1"/>
  <c r="S588" i="1"/>
  <c r="T588" i="1"/>
  <c r="N632" i="1"/>
  <c r="N676" i="1"/>
  <c r="O677" i="1"/>
  <c r="A692" i="1" s="1"/>
  <c r="P677" i="1"/>
  <c r="Q677" i="1"/>
  <c r="R677" i="1"/>
  <c r="S677" i="1"/>
  <c r="T677" i="1"/>
  <c r="U677" i="1"/>
  <c r="O678" i="1"/>
  <c r="P678" i="1"/>
  <c r="Q678" i="1"/>
  <c r="R678" i="1"/>
  <c r="S678" i="1"/>
  <c r="T678" i="1"/>
  <c r="U678" i="1"/>
  <c r="O679" i="1"/>
  <c r="P679" i="1"/>
  <c r="Q679" i="1"/>
  <c r="R679" i="1"/>
  <c r="S679" i="1"/>
  <c r="T679" i="1"/>
  <c r="U679" i="1"/>
  <c r="N742" i="1"/>
  <c r="O742" i="1"/>
  <c r="P742" i="1"/>
  <c r="N775" i="1"/>
  <c r="N776" i="1" s="1"/>
  <c r="M785" i="1"/>
  <c r="O785" i="1"/>
  <c r="P785" i="1"/>
  <c r="Q785" i="1"/>
  <c r="R785" i="1"/>
  <c r="S785" i="1"/>
  <c r="T785" i="1"/>
  <c r="U785" i="1"/>
  <c r="O786" i="1"/>
  <c r="P786" i="1"/>
  <c r="Q786" i="1"/>
  <c r="R786" i="1"/>
  <c r="S786" i="1"/>
  <c r="T786" i="1"/>
  <c r="A801" i="1"/>
  <c r="M810" i="1"/>
  <c r="O856" i="1"/>
  <c r="P856" i="1"/>
  <c r="Q856" i="1"/>
  <c r="R856" i="1"/>
  <c r="S856" i="1"/>
  <c r="T856" i="1"/>
  <c r="U856" i="1"/>
  <c r="V856" i="1"/>
  <c r="P857" i="1"/>
  <c r="Q857" i="1"/>
  <c r="R857" i="1"/>
  <c r="S857" i="1"/>
  <c r="T857" i="1"/>
  <c r="U857" i="1"/>
  <c r="A874" i="1"/>
  <c r="N887" i="1"/>
  <c r="N932" i="1"/>
  <c r="O932" i="1"/>
  <c r="P932" i="1"/>
  <c r="Q932" i="1"/>
  <c r="R932" i="1"/>
  <c r="S932" i="1"/>
  <c r="T932" i="1"/>
  <c r="U932" i="1"/>
  <c r="O933" i="1"/>
  <c r="P933" i="1"/>
  <c r="Q933" i="1"/>
  <c r="R933" i="1"/>
  <c r="S933" i="1"/>
  <c r="T933" i="1"/>
  <c r="A948" i="1"/>
  <c r="N960" i="1"/>
  <c r="A797" i="31" l="1"/>
  <c r="A479" i="31"/>
  <c r="A182" i="31"/>
  <c r="P144" i="31"/>
  <c r="J51" i="31"/>
  <c r="J47" i="31"/>
  <c r="L758" i="31"/>
  <c r="A769" i="31" s="1"/>
  <c r="M757" i="31"/>
  <c r="N757" i="31"/>
  <c r="O758" i="31"/>
  <c r="P758" i="31"/>
  <c r="Q757" i="31"/>
  <c r="N834" i="31"/>
  <c r="L144" i="31"/>
  <c r="A158" i="31" s="1"/>
  <c r="L836" i="31"/>
  <c r="M144" i="31"/>
  <c r="N835" i="31"/>
  <c r="O145" i="31"/>
  <c r="P836" i="31"/>
  <c r="Q144" i="31"/>
  <c r="P835" i="31"/>
  <c r="P756" i="31"/>
  <c r="N143" i="31"/>
  <c r="L145" i="31"/>
  <c r="M835" i="31"/>
  <c r="N144" i="31"/>
  <c r="O836" i="31"/>
  <c r="P145" i="31"/>
  <c r="Q835" i="31"/>
  <c r="N836" i="31"/>
  <c r="L835" i="31"/>
  <c r="A796" i="31"/>
  <c r="O756" i="31"/>
  <c r="N145" i="31"/>
  <c r="Q836" i="31"/>
  <c r="M836" i="31"/>
  <c r="O835" i="31"/>
  <c r="Q834" i="31"/>
  <c r="A844" i="31" s="1"/>
  <c r="Q145" i="31"/>
  <c r="A159" i="31" s="1"/>
  <c r="M145" i="31"/>
  <c r="O144" i="31"/>
  <c r="Q143" i="31"/>
  <c r="A157" i="31" s="1"/>
  <c r="P834" i="31"/>
  <c r="P143" i="31"/>
  <c r="O834" i="31"/>
  <c r="O143" i="31"/>
  <c r="L74" i="1"/>
  <c r="A74" i="1" s="1"/>
  <c r="U51" i="1"/>
  <c r="A870" i="31"/>
  <c r="F96" i="1"/>
  <c r="A169" i="1" s="1"/>
  <c r="H37" i="1"/>
  <c r="Q51" i="1"/>
  <c r="C62" i="31"/>
  <c r="C60" i="31"/>
  <c r="C58" i="31"/>
  <c r="A548" i="31"/>
  <c r="M721" i="31"/>
  <c r="A722" i="31" s="1"/>
  <c r="A98" i="26"/>
  <c r="T245" i="1"/>
  <c r="C97" i="1"/>
  <c r="E97" i="1" s="1"/>
  <c r="A767" i="31"/>
  <c r="A453" i="31"/>
  <c r="A920" i="31"/>
  <c r="A919" i="31"/>
  <c r="A846" i="31"/>
  <c r="F100" i="1"/>
  <c r="A768" i="31"/>
  <c r="O889" i="1"/>
  <c r="O890" i="1"/>
  <c r="O178" i="1"/>
  <c r="O179" i="1"/>
  <c r="O963" i="1"/>
  <c r="O962" i="1"/>
  <c r="O813" i="1"/>
  <c r="O812" i="1"/>
  <c r="O494" i="1"/>
  <c r="O495" i="1"/>
  <c r="V51" i="1"/>
  <c r="P890" i="1"/>
  <c r="P889" i="1"/>
  <c r="P179" i="1"/>
  <c r="P178" i="1"/>
  <c r="P963" i="1"/>
  <c r="P962" i="1"/>
  <c r="P813" i="1"/>
  <c r="P812" i="1"/>
  <c r="P494" i="1"/>
  <c r="P495" i="1"/>
  <c r="Q889" i="1"/>
  <c r="Q890" i="1"/>
  <c r="Q178" i="1"/>
  <c r="Q179" i="1"/>
  <c r="Q963" i="1"/>
  <c r="Q962" i="1"/>
  <c r="Q813" i="1"/>
  <c r="Q812" i="1"/>
  <c r="Q494" i="1"/>
  <c r="Q495" i="1"/>
  <c r="R890" i="1"/>
  <c r="R889" i="1"/>
  <c r="R179" i="1"/>
  <c r="R178" i="1"/>
  <c r="R963" i="1"/>
  <c r="R962" i="1"/>
  <c r="R813" i="1"/>
  <c r="R812" i="1"/>
  <c r="R494" i="1"/>
  <c r="R495" i="1"/>
  <c r="S889" i="1"/>
  <c r="S890" i="1"/>
  <c r="S178" i="1"/>
  <c r="S179" i="1"/>
  <c r="S963" i="1"/>
  <c r="S962" i="1"/>
  <c r="S813" i="1"/>
  <c r="S812" i="1"/>
  <c r="S494" i="1"/>
  <c r="S495" i="1"/>
  <c r="T890" i="1"/>
  <c r="T889" i="1"/>
  <c r="T179" i="1"/>
  <c r="T178" i="1"/>
  <c r="T963" i="1"/>
  <c r="T962" i="1"/>
  <c r="T813" i="1"/>
  <c r="T812" i="1"/>
  <c r="T494" i="1"/>
  <c r="T495" i="1"/>
  <c r="A571" i="31"/>
  <c r="V50" i="1"/>
  <c r="A715" i="1"/>
  <c r="A478" i="31"/>
  <c r="S245" i="1"/>
  <c r="O245" i="1"/>
  <c r="R245" i="1"/>
  <c r="P245" i="1"/>
  <c r="N245" i="1"/>
  <c r="W245" i="1" s="1"/>
  <c r="S36" i="29"/>
  <c r="O36" i="29"/>
  <c r="N449" i="1" s="1"/>
  <c r="U36" i="29"/>
  <c r="N395" i="31"/>
  <c r="Q449" i="1"/>
  <c r="Q36" i="29"/>
  <c r="K395" i="31"/>
  <c r="D37" i="1"/>
  <c r="F97" i="1"/>
  <c r="H97" i="1" s="1"/>
  <c r="M691" i="31"/>
  <c r="A663" i="31"/>
  <c r="G29" i="31"/>
  <c r="S51" i="1"/>
  <c r="D61" i="31"/>
  <c r="E61" i="31" s="1"/>
  <c r="D60" i="31"/>
  <c r="T50" i="1"/>
  <c r="I34" i="1"/>
  <c r="O50" i="1"/>
  <c r="U50" i="1"/>
  <c r="A110" i="31"/>
  <c r="A111" i="31"/>
  <c r="D36" i="20"/>
  <c r="A143" i="1" s="1"/>
  <c r="Q742" i="1"/>
  <c r="O743" i="1" s="1"/>
  <c r="A743" i="1" s="1"/>
  <c r="N691" i="31"/>
  <c r="L692" i="31" s="1"/>
  <c r="O744" i="1"/>
  <c r="A744" i="1" s="1"/>
  <c r="A619" i="31"/>
  <c r="A501" i="31"/>
  <c r="A503" i="31"/>
  <c r="A502" i="31"/>
  <c r="T269" i="26"/>
  <c r="O51" i="1"/>
  <c r="F37" i="1"/>
  <c r="D62" i="31"/>
  <c r="D59" i="31"/>
  <c r="E59" i="31" s="1"/>
  <c r="D58" i="31"/>
  <c r="H29" i="31"/>
  <c r="F29" i="31"/>
  <c r="D29" i="31"/>
  <c r="L721" i="31"/>
  <c r="A720" i="31" s="1"/>
  <c r="O721" i="31"/>
  <c r="N721" i="31"/>
  <c r="A721" i="31" s="1"/>
  <c r="A640" i="31"/>
  <c r="N580" i="31"/>
  <c r="P580" i="31"/>
  <c r="O633" i="1"/>
  <c r="A647" i="1" s="1"/>
  <c r="L580" i="31"/>
  <c r="A593" i="31" s="1"/>
  <c r="C99" i="1"/>
  <c r="F34" i="1"/>
  <c r="V266" i="26"/>
  <c r="X253" i="1"/>
  <c r="X252" i="1"/>
  <c r="X251" i="1"/>
  <c r="L87" i="1"/>
  <c r="R50" i="1"/>
  <c r="N8" i="3"/>
  <c r="X266" i="26"/>
  <c r="T266" i="26"/>
  <c r="D36" i="28"/>
  <c r="A997" i="1" s="1"/>
  <c r="A800" i="1"/>
  <c r="R8" i="3"/>
  <c r="D8" i="3"/>
  <c r="D36" i="22"/>
  <c r="A532" i="1" s="1"/>
  <c r="W269" i="26"/>
  <c r="U269" i="26"/>
  <c r="S269" i="26"/>
  <c r="S217" i="26"/>
  <c r="A358" i="1" s="1"/>
  <c r="V217" i="26"/>
  <c r="A361" i="1" s="1"/>
  <c r="T217" i="26"/>
  <c r="A359" i="1" s="1"/>
  <c r="C173" i="26"/>
  <c r="A325" i="1" s="1"/>
  <c r="R218" i="31"/>
  <c r="A225" i="31"/>
  <c r="L193" i="31"/>
  <c r="Q47" i="26"/>
  <c r="U227" i="1" s="1"/>
  <c r="P193" i="31"/>
  <c r="Q48" i="26"/>
  <c r="U228" i="1" s="1"/>
  <c r="P194" i="31"/>
  <c r="N194" i="31"/>
  <c r="L194" i="31"/>
  <c r="H34" i="1"/>
  <c r="D34" i="1"/>
  <c r="P50" i="1"/>
  <c r="F99" i="1"/>
  <c r="H99" i="1" s="1"/>
  <c r="F98" i="1"/>
  <c r="P581" i="31"/>
  <c r="P582" i="31"/>
  <c r="L581" i="31"/>
  <c r="A594" i="31" s="1"/>
  <c r="L582" i="31"/>
  <c r="A595" i="31" s="1"/>
  <c r="N581" i="31"/>
  <c r="N582" i="31"/>
  <c r="A454" i="31"/>
  <c r="A452" i="31"/>
  <c r="A227" i="31"/>
  <c r="J40" i="31"/>
  <c r="C30" i="31"/>
  <c r="A32" i="31" s="1"/>
  <c r="E29" i="31"/>
  <c r="A24" i="31"/>
  <c r="G20" i="3"/>
  <c r="T36" i="29"/>
  <c r="R36" i="29"/>
  <c r="N36" i="29"/>
  <c r="C96" i="1"/>
  <c r="A168" i="1" s="1"/>
  <c r="I37" i="1"/>
  <c r="G37" i="1"/>
  <c r="E37" i="1"/>
  <c r="G34" i="1"/>
  <c r="E34" i="1"/>
  <c r="A641" i="31"/>
  <c r="A639" i="31"/>
  <c r="G8" i="3"/>
  <c r="R268" i="26"/>
  <c r="X269" i="26"/>
  <c r="V269" i="26"/>
  <c r="Y266" i="26"/>
  <c r="W266" i="26"/>
  <c r="U266" i="26"/>
  <c r="W217" i="26"/>
  <c r="U217" i="26"/>
  <c r="L214" i="26"/>
  <c r="J214" i="26"/>
  <c r="D169" i="26"/>
  <c r="D142" i="26"/>
  <c r="D152" i="26"/>
  <c r="D171" i="26"/>
  <c r="A326" i="1" s="1"/>
  <c r="D170" i="26"/>
  <c r="D148" i="26"/>
  <c r="D145" i="26"/>
  <c r="D155" i="26"/>
  <c r="D160" i="26"/>
  <c r="D153" i="26"/>
  <c r="D150" i="26"/>
  <c r="D144" i="26"/>
  <c r="D146" i="26"/>
  <c r="D168" i="26"/>
  <c r="D162" i="26"/>
  <c r="D140" i="26"/>
  <c r="D147" i="26"/>
  <c r="D159" i="26"/>
  <c r="D154" i="26"/>
  <c r="D167" i="26"/>
  <c r="D141" i="26"/>
  <c r="D161" i="26"/>
  <c r="D165" i="26"/>
  <c r="D164" i="26"/>
  <c r="D156" i="26"/>
  <c r="D166" i="26"/>
  <c r="D149" i="26"/>
  <c r="D158" i="26"/>
  <c r="D151" i="26"/>
  <c r="D157" i="26"/>
  <c r="D143" i="26"/>
  <c r="D163" i="26"/>
  <c r="L132" i="26"/>
  <c r="C100" i="1"/>
  <c r="E100" i="1" s="1"/>
  <c r="C98" i="1"/>
  <c r="A484" i="1" s="1"/>
  <c r="T51" i="1"/>
  <c r="R51" i="1"/>
  <c r="P51" i="1"/>
  <c r="S50" i="1"/>
  <c r="Q50" i="1"/>
  <c r="A226" i="31"/>
  <c r="I89" i="31"/>
  <c r="O79" i="31"/>
  <c r="I20" i="3"/>
  <c r="I8" i="3"/>
  <c r="M132" i="26"/>
  <c r="L93" i="1" l="1"/>
  <c r="L104" i="1" s="1"/>
  <c r="A845" i="31"/>
  <c r="A205" i="31"/>
  <c r="A204" i="31"/>
  <c r="X245" i="1"/>
  <c r="A276" i="1" s="1"/>
  <c r="H100" i="1"/>
  <c r="E62" i="31"/>
  <c r="Q743" i="1"/>
  <c r="P743" i="1"/>
  <c r="A747" i="1" s="1"/>
  <c r="X247" i="1"/>
  <c r="A278" i="1" s="1"/>
  <c r="X246" i="1"/>
  <c r="A277" i="1" s="1"/>
  <c r="V268" i="26"/>
  <c r="A394" i="1" s="1"/>
  <c r="U268" i="26"/>
  <c r="A393" i="1" s="1"/>
  <c r="M692" i="31"/>
  <c r="N692" i="31"/>
  <c r="E99" i="1"/>
  <c r="O395" i="31"/>
  <c r="R449" i="1"/>
  <c r="A93" i="1"/>
  <c r="H96" i="1"/>
  <c r="A485" i="1"/>
  <c r="E60" i="31"/>
  <c r="A427" i="31"/>
  <c r="H98" i="1"/>
  <c r="A41" i="1"/>
  <c r="M693" i="31"/>
  <c r="L693" i="31"/>
  <c r="P744" i="1"/>
  <c r="E58" i="31"/>
  <c r="A133" i="31"/>
  <c r="A749" i="1"/>
  <c r="A745" i="1"/>
  <c r="W268" i="26"/>
  <c r="A395" i="1" s="1"/>
  <c r="T268" i="26"/>
  <c r="A392" i="1" s="1"/>
  <c r="A272" i="31"/>
  <c r="A360" i="1"/>
  <c r="X268" i="26"/>
  <c r="A396" i="1" s="1"/>
  <c r="S268" i="26"/>
  <c r="A391" i="1" s="1"/>
  <c r="M395" i="31"/>
  <c r="P449" i="1"/>
  <c r="A362" i="1"/>
  <c r="E96" i="1"/>
  <c r="M134" i="26"/>
  <c r="L134" i="26"/>
  <c r="A305" i="1" s="1"/>
  <c r="K134" i="26"/>
  <c r="A304" i="1" s="1"/>
  <c r="A89" i="31"/>
  <c r="I115" i="31"/>
  <c r="E98" i="1"/>
  <c r="A104" i="1" l="1"/>
  <c r="L123" i="1"/>
  <c r="N693" i="31"/>
  <c r="A748" i="1"/>
  <c r="Q744" i="1"/>
  <c r="A115" i="31"/>
  <c r="I137" i="31"/>
  <c r="A123" i="1" l="1"/>
  <c r="L149" i="1"/>
  <c r="A137" i="31"/>
  <c r="I160" i="31"/>
  <c r="A149" i="1" l="1"/>
  <c r="L171" i="1"/>
  <c r="I185" i="31"/>
  <c r="A160" i="31"/>
  <c r="L194" i="1" l="1"/>
  <c r="A171" i="1"/>
  <c r="I207" i="31"/>
  <c r="A185" i="31"/>
  <c r="L219" i="1" l="1"/>
  <c r="A194" i="1"/>
  <c r="I230" i="31"/>
  <c r="A207" i="31"/>
  <c r="A219" i="1" l="1"/>
  <c r="L240" i="1"/>
  <c r="A230" i="31"/>
  <c r="I253" i="31"/>
  <c r="A240" i="1" l="1"/>
  <c r="L259" i="1"/>
  <c r="A253" i="31"/>
  <c r="I274" i="31"/>
  <c r="A259" i="1" l="1"/>
  <c r="L283" i="1"/>
  <c r="A274" i="31"/>
  <c r="I310" i="31"/>
  <c r="L306" i="1" l="1"/>
  <c r="A283" i="1"/>
  <c r="A310" i="31"/>
  <c r="I346" i="31"/>
  <c r="L328" i="1" l="1"/>
  <c r="A328" i="1" s="1"/>
  <c r="A306" i="1"/>
  <c r="I387" i="31"/>
  <c r="A346" i="31"/>
  <c r="L364" i="1" l="1"/>
  <c r="I407" i="31"/>
  <c r="A387" i="31"/>
  <c r="A364" i="1" l="1"/>
  <c r="L400" i="1"/>
  <c r="A400" i="1" s="1"/>
  <c r="I431" i="31"/>
  <c r="A407" i="31"/>
  <c r="L441" i="1" l="1"/>
  <c r="A441" i="1" s="1"/>
  <c r="A431" i="31"/>
  <c r="I456" i="31"/>
  <c r="L463" i="1" l="1"/>
  <c r="A456" i="31"/>
  <c r="I481" i="31"/>
  <c r="A463" i="1" l="1"/>
  <c r="L487" i="1"/>
  <c r="A481" i="31"/>
  <c r="I505" i="31"/>
  <c r="A487" i="1" l="1"/>
  <c r="L511" i="1"/>
  <c r="I529" i="31"/>
  <c r="A505" i="31"/>
  <c r="A511" i="1" l="1"/>
  <c r="L536" i="1"/>
  <c r="A529" i="31"/>
  <c r="I550" i="31"/>
  <c r="L559" i="1" l="1"/>
  <c r="A536" i="1"/>
  <c r="A550" i="31"/>
  <c r="I573" i="31"/>
  <c r="L583" i="1" l="1"/>
  <c r="A559" i="1"/>
  <c r="A573" i="31"/>
  <c r="I597" i="31"/>
  <c r="A583" i="1" l="1"/>
  <c r="L603" i="1"/>
  <c r="I620" i="31"/>
  <c r="A597" i="31"/>
  <c r="A603" i="1" l="1"/>
  <c r="L626" i="1"/>
  <c r="A620" i="31"/>
  <c r="I643" i="31"/>
  <c r="A626" i="1" l="1"/>
  <c r="L649" i="1"/>
  <c r="A643" i="31"/>
  <c r="I666" i="31"/>
  <c r="L672" i="1" l="1"/>
  <c r="A649" i="1"/>
  <c r="I696" i="31"/>
  <c r="A666" i="31"/>
  <c r="A668" i="31" s="1"/>
  <c r="A672" i="1" l="1"/>
  <c r="L694" i="1"/>
  <c r="I726" i="31"/>
  <c r="A696" i="31"/>
  <c r="A694" i="1" l="1"/>
  <c r="L717" i="1"/>
  <c r="A726" i="31"/>
  <c r="I748" i="31"/>
  <c r="L751" i="1" l="1"/>
  <c r="A717" i="1"/>
  <c r="A719" i="1" s="1"/>
  <c r="A748" i="31"/>
  <c r="I774" i="31"/>
  <c r="L781" i="1" l="1"/>
  <c r="A751" i="1"/>
  <c r="I801" i="31"/>
  <c r="A774" i="31"/>
  <c r="A781" i="1" l="1"/>
  <c r="L803" i="1"/>
  <c r="A801" i="31"/>
  <c r="I823" i="31"/>
  <c r="L828" i="1" l="1"/>
  <c r="A803" i="1"/>
  <c r="A823" i="31"/>
  <c r="I848" i="31"/>
  <c r="A828" i="1" l="1"/>
  <c r="L855" i="1"/>
  <c r="I875" i="31"/>
  <c r="A848" i="31"/>
  <c r="L877" i="1" l="1"/>
  <c r="A855" i="1"/>
  <c r="A875" i="31"/>
  <c r="I897" i="31"/>
  <c r="A877" i="1" l="1"/>
  <c r="L902" i="1"/>
  <c r="A897" i="31"/>
  <c r="I922" i="31"/>
  <c r="A922" i="31" s="1"/>
  <c r="L929" i="1" l="1"/>
  <c r="A902" i="1"/>
  <c r="L951" i="1" l="1"/>
  <c r="A929" i="1"/>
  <c r="A951" i="1" l="1"/>
  <c r="L975" i="1"/>
  <c r="A975" i="1" s="1"/>
</calcChain>
</file>

<file path=xl/comments1.xml><?xml version="1.0" encoding="utf-8"?>
<comments xmlns="http://schemas.openxmlformats.org/spreadsheetml/2006/main">
  <authors>
    <author>Ian Volante</author>
  </authors>
  <commentList>
    <comment ref="F2" authorId="0">
      <text>
        <r>
          <rPr>
            <b/>
            <sz val="8"/>
            <color indexed="81"/>
            <rFont val="Tahoma"/>
            <family val="2"/>
          </rPr>
          <t>Ian Volante:</t>
        </r>
        <r>
          <rPr>
            <sz val="8"/>
            <color indexed="81"/>
            <rFont val="Tahoma"/>
            <family val="2"/>
          </rPr>
          <t xml:space="preserve">
Not sure where PI eval figures come from - don't think they're referred to either.</t>
        </r>
      </text>
    </comment>
  </commentList>
</comments>
</file>

<file path=xl/comments2.xml><?xml version="1.0" encoding="utf-8"?>
<comments xmlns="http://schemas.openxmlformats.org/spreadsheetml/2006/main">
  <authors>
    <author>Ian Volante</author>
  </authors>
  <commentList>
    <comment ref="F2" authorId="0">
      <text>
        <r>
          <rPr>
            <b/>
            <sz val="8"/>
            <color indexed="81"/>
            <rFont val="Tahoma"/>
            <family val="2"/>
          </rPr>
          <t>Ian Volante:</t>
        </r>
        <r>
          <rPr>
            <sz val="8"/>
            <color indexed="81"/>
            <rFont val="Tahoma"/>
            <family val="2"/>
          </rPr>
          <t xml:space="preserve">
Not sure where these come from, or that they're referred to.</t>
        </r>
      </text>
    </comment>
  </commentList>
</comments>
</file>

<file path=xl/sharedStrings.xml><?xml version="1.0" encoding="utf-8"?>
<sst xmlns="http://schemas.openxmlformats.org/spreadsheetml/2006/main" count="4799" uniqueCount="398">
  <si>
    <t>2006/07</t>
  </si>
  <si>
    <t>2007/08</t>
  </si>
  <si>
    <t>2003/04</t>
  </si>
  <si>
    <t>2004/05</t>
  </si>
  <si>
    <t>2005/06</t>
  </si>
  <si>
    <t>Scotland</t>
  </si>
  <si>
    <t>Note:</t>
  </si>
  <si>
    <t>Figures have not been adjusted for inter account and inter authority transfers</t>
  </si>
  <si>
    <t>Scotland 2007/08</t>
  </si>
  <si>
    <t>Social Work</t>
  </si>
  <si>
    <t>Service Strategy</t>
  </si>
  <si>
    <t>Children's Panel</t>
  </si>
  <si>
    <t>Children and families</t>
  </si>
  <si>
    <t>Children &amp; Families</t>
  </si>
  <si>
    <t>Older persons</t>
  </si>
  <si>
    <t>Adults with physical or sensory disabilities</t>
  </si>
  <si>
    <t>Adults with learning difficulties</t>
  </si>
  <si>
    <t>Adults with mental health needs</t>
  </si>
  <si>
    <t>Adults with addictions/substance misuse</t>
  </si>
  <si>
    <t>HIV/AIDS</t>
  </si>
  <si>
    <t>Service to asylum seekers and refugees</t>
  </si>
  <si>
    <t>Criminal Justice social work services</t>
  </si>
  <si>
    <t>Scotland 2006/07</t>
  </si>
  <si>
    <t>Scotland 2005/06</t>
  </si>
  <si>
    <t>-</t>
  </si>
  <si>
    <t>Older Persons</t>
  </si>
  <si>
    <t>Local Authority</t>
  </si>
  <si>
    <t>Scotland (£'000)</t>
  </si>
  <si>
    <t>2008/09</t>
  </si>
  <si>
    <t>Year on Year Move</t>
  </si>
  <si>
    <t>Move over the Period</t>
  </si>
  <si>
    <t>Aberdeen City</t>
  </si>
  <si>
    <t>Aberdeenshire</t>
  </si>
  <si>
    <t>Angus</t>
  </si>
  <si>
    <t>Argyll &amp; Bute</t>
  </si>
  <si>
    <t>Clackmannanshire</t>
  </si>
  <si>
    <t>Dumfries &amp; Galloway</t>
  </si>
  <si>
    <t>Dundee City</t>
  </si>
  <si>
    <t>East Ayrshire</t>
  </si>
  <si>
    <t>East Dunbartonshire</t>
  </si>
  <si>
    <t>East Lothian</t>
  </si>
  <si>
    <t>East Renfrewshire</t>
  </si>
  <si>
    <t>Eilean Siar</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</si>
  <si>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</si>
  <si>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</si>
  <si>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</si>
  <si>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</si>
  <si>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</si>
  <si>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</si>
  <si>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</si>
  <si>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</si>
  <si>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</si>
  <si>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</si>
  <si>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</si>
  <si>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</si>
  <si>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</si>
  <si>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</si>
  <si>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</si>
  <si>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</si>
  <si>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</si>
  <si>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</si>
  <si>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</si>
  <si>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SCOTLAND</t>
  </si>
  <si>
    <t>Select Council:</t>
  </si>
  <si>
    <t>% Increase</t>
  </si>
  <si>
    <t>2009/10</t>
  </si>
  <si>
    <t>GAE</t>
  </si>
  <si>
    <t>Net Budget</t>
  </si>
  <si>
    <t>Minimum</t>
  </si>
  <si>
    <t>Maximum</t>
  </si>
  <si>
    <t>NOTE TO USERS: SIMPLY SELECT THE COUNCIL NAME FROM THE DROP DOWN LIST OPPOSITE (C5) AND THEN PRINT THE RESULTING ANALYSIS.  NO FURTHER INPUT REQUIRED</t>
  </si>
  <si>
    <t>Scotland 2008/09</t>
  </si>
  <si>
    <t>Percentage Shares</t>
  </si>
  <si>
    <t>Total Social Work in Scotland Budget</t>
  </si>
  <si>
    <t>As a % of Total SW Spend</t>
  </si>
  <si>
    <t>Breakdown of Social Work Spend</t>
  </si>
  <si>
    <t>Total SW Expenditure</t>
  </si>
  <si>
    <t>All Adults</t>
  </si>
  <si>
    <t xml:space="preserve"> - Older People</t>
  </si>
  <si>
    <t xml:space="preserve"> - Learning Disability</t>
  </si>
  <si>
    <t xml:space="preserve"> - Other Adult Groups</t>
  </si>
  <si>
    <t>Miscellaneous</t>
  </si>
  <si>
    <t xml:space="preserve"> - Service Strategy</t>
  </si>
  <si>
    <t xml:space="preserve"> - Children's Panel</t>
  </si>
  <si>
    <t xml:space="preserve"> - Asylum Seekers</t>
  </si>
  <si>
    <t>Older People</t>
  </si>
  <si>
    <t>Learning Disability</t>
  </si>
  <si>
    <t>Other Adult Groups</t>
  </si>
  <si>
    <t>Learning Disabilities</t>
  </si>
  <si>
    <t>Adults with learning disabilities</t>
  </si>
  <si>
    <t>0-17</t>
  </si>
  <si>
    <t>18-64</t>
  </si>
  <si>
    <t>65+</t>
  </si>
  <si>
    <t>Source:</t>
  </si>
  <si>
    <t>GROs - Population Estimates</t>
  </si>
  <si>
    <t>No</t>
  </si>
  <si>
    <t>Social Work Spend per Capita</t>
  </si>
  <si>
    <t>Average Spend per Capita</t>
  </si>
  <si>
    <t>C&amp;F Spend per Capita</t>
  </si>
  <si>
    <t>Further detail on individual care groups is shown in more detail over the following pages.</t>
  </si>
  <si>
    <t>Council</t>
  </si>
  <si>
    <t>Average</t>
  </si>
  <si>
    <t>Children looked after away from home</t>
  </si>
  <si>
    <t>Scotland rate</t>
  </si>
  <si>
    <t>Local authority</t>
  </si>
  <si>
    <t>Purchased foster care</t>
  </si>
  <si>
    <t>Other</t>
  </si>
  <si>
    <t>Residential placements</t>
  </si>
  <si>
    <t>Directly provided foster care</t>
  </si>
  <si>
    <t>With relatives or friends</t>
  </si>
  <si>
    <t>Total</t>
  </si>
  <si>
    <t>Total home care hours (all care groups), rate per 1,000 population aged 65+</t>
  </si>
  <si>
    <t>Rate per 1,000 population aged 65+</t>
  </si>
  <si>
    <t>Scottish rate</t>
  </si>
  <si>
    <t>People aged 65+ receiving intensive home care, 10+ hours per week (rate per 1,000)</t>
  </si>
  <si>
    <t>Supported in care homes</t>
  </si>
  <si>
    <t>Intensive Home care (10+ hours per week)</t>
  </si>
  <si>
    <t>Sources:</t>
  </si>
  <si>
    <t>Rate per 1,000</t>
  </si>
  <si>
    <t>Number</t>
  </si>
  <si>
    <t>- Total home care hours, rate per 1,000 population aged 65+ (time series)</t>
  </si>
  <si>
    <t>- Intensive home care, rate per 1,000 population aged 65+ (bar chart)</t>
  </si>
  <si>
    <t>- Total home care hours by sector, rate per 1,000 population aged 65+ (bar chart)</t>
  </si>
  <si>
    <t>- Balance of care (intensive home care/care homes), rate per 1,000 population aged 65+ (bar chart)</t>
  </si>
  <si>
    <t>Tables contained in this worksheet</t>
  </si>
  <si>
    <t>Receiving service solely from local authority</t>
  </si>
  <si>
    <t>Receiving service solely from private/ voluntary sector</t>
  </si>
  <si>
    <t>Receiving service from a combination of LA and  private/ voluntary sector</t>
  </si>
  <si>
    <t>Source: Home Care statistical Return H1</t>
  </si>
  <si>
    <t>Rate per 1,000 pop 65+</t>
  </si>
  <si>
    <t>Children looked after (rate per 1,000 0-17 population)</t>
  </si>
  <si>
    <t>Rate per 1,000 population aged 0-17</t>
  </si>
  <si>
    <t>Children looked after away from home, rate per 1,000 population 0-17</t>
  </si>
  <si>
    <t>- Children looked after away from home, rate per 1,000 population 0-17</t>
  </si>
  <si>
    <t xml:space="preserve">Note: Other includes with prospective adopters, supported accommodation/semi-independent living, supported tenancy, own tenancy/independent living, hostel, "Leaving Care Services", placed with carers from adult services, and "throughcare and aftercare". </t>
  </si>
  <si>
    <t>Children's Services</t>
  </si>
  <si>
    <t>2003/04 (base)</t>
  </si>
  <si>
    <t>£'000s</t>
  </si>
  <si>
    <t>Children and Families (C&amp;F)</t>
  </si>
  <si>
    <t>- Total children looked after aged 0-17 (rate per 1,000 population aged 0-17)</t>
  </si>
  <si>
    <t>Edinburgh</t>
  </si>
  <si>
    <t>Combination of LA and private/voluntary</t>
  </si>
  <si>
    <t>Intensive home care</t>
  </si>
  <si>
    <t>Care home</t>
  </si>
  <si>
    <t>Proportion</t>
  </si>
  <si>
    <t>Table for moderation sheet</t>
  </si>
  <si>
    <t>Solely from LA</t>
  </si>
  <si>
    <t>Solely from private/voluntary sector</t>
  </si>
  <si>
    <t>Movement</t>
  </si>
  <si>
    <t>Mental Health</t>
  </si>
  <si>
    <t>Children looked after away from home by age</t>
  </si>
  <si>
    <t>5-11</t>
  </si>
  <si>
    <t>12-17</t>
  </si>
  <si>
    <t>2005-2009</t>
  </si>
  <si>
    <t>0-4</t>
  </si>
  <si>
    <t>- Total number of older people supported in care homes, rate per 1,000 population aged 65+ (time series)</t>
  </si>
  <si>
    <t>- Total number of older people supported in care homes, rate per 1,000 population aged 65+ (bar chart)</t>
  </si>
  <si>
    <t>- Total home care hours, rate per 1,000 population aged 65+ (bar chart)</t>
  </si>
  <si>
    <t>- Intensive home care, rate per 1,000 population aged 65+ (time series)</t>
  </si>
  <si>
    <t>2005/6</t>
  </si>
  <si>
    <t>Min</t>
  </si>
  <si>
    <t>Max</t>
  </si>
  <si>
    <t>85+</t>
  </si>
  <si>
    <t>% change (85+)</t>
  </si>
  <si>
    <t>- Low level home care, rate per 1,000 population aged 65+ (time series)</t>
  </si>
  <si>
    <t>- Low level home care, rate per 1,000 population aged 65+ (bar chart)</t>
  </si>
  <si>
    <t>Number of people aged 65+ receiving home care (free personal and nursing care publication)</t>
  </si>
  <si>
    <t>Number of people aged 65+ receiving less than 10+ hours per week</t>
  </si>
  <si>
    <t>LA</t>
  </si>
  <si>
    <t>Ref No. for tables/charts (update for each new chart/table etc.)</t>
  </si>
  <si>
    <t>85+ (2008-2018)</t>
  </si>
  <si>
    <t>85+ (2008-2028)</t>
  </si>
  <si>
    <t>% change (65-74)</t>
  </si>
  <si>
    <t>% change (75-84)</t>
  </si>
  <si>
    <t>65-74 (2008-2018)</t>
  </si>
  <si>
    <t>65-74 (2008-2028)</t>
  </si>
  <si>
    <t>75-84 (2008-2018)</t>
  </si>
  <si>
    <t>75-84 (2008-2028)</t>
  </si>
  <si>
    <t>In residential school</t>
  </si>
  <si>
    <t>In secure accommodation</t>
  </si>
  <si>
    <t>Crisis care</t>
  </si>
  <si>
    <t>Total children looked after at and away from home aged 0-17 (rate per 1,000 population aged 0-17)</t>
  </si>
  <si>
    <t>Rate per 1,000 0-17</t>
  </si>
  <si>
    <t>At home</t>
  </si>
  <si>
    <t>Away from home</t>
  </si>
  <si>
    <t>Total rate</t>
  </si>
  <si>
    <t>Percent:</t>
  </si>
  <si>
    <t>Rate:</t>
  </si>
  <si>
    <t>Note: Other residential includes close support unit, intensive support unit, residential units outwith the local authority, homeless unit, private or NHS home, emergency accommodation, hospital, Spark of Genius, Quarriers, residential home, and other specific residential establishments and purchased placements</t>
  </si>
  <si>
    <t>Social Work Expenditure and Activity (2003/04 to 2008/09)</t>
  </si>
  <si>
    <t>Proportion (Away from home)</t>
  </si>
  <si>
    <t>Proportion (Supported in care homes)</t>
  </si>
  <si>
    <t>Overall Gross Social Work Spend*</t>
  </si>
  <si>
    <t>Please note that numbers of children looked after away from home in the Island councils and small council areas are based on small numbers and in these areas exercise caution when interpreting percentage changes.</t>
  </si>
  <si>
    <t>Highlight</t>
  </si>
  <si>
    <t>Don't</t>
  </si>
  <si>
    <t>title for chart</t>
  </si>
  <si>
    <t>Don't Highlight</t>
  </si>
  <si>
    <t>In local authority care home</t>
  </si>
  <si>
    <t>In voluntary care home</t>
  </si>
  <si>
    <t>Other residential placement</t>
  </si>
  <si>
    <t>Due to the wide variation in the numbers of adults with learning disabilities known to and recorded by councils, this report uses spend per head of population aged 18-64 as a proxy to allow us to make some comparison of relative spend.</t>
  </si>
  <si>
    <t>Addiction Services</t>
  </si>
  <si>
    <t>65-74</t>
  </si>
  <si>
    <t>75-84</t>
  </si>
  <si>
    <t>% change 2005-08 (85+)</t>
  </si>
  <si>
    <t>Projection 2008 - 18 (65-74)</t>
  </si>
  <si>
    <t>Projection 2008 - 18 (75-84)</t>
  </si>
  <si>
    <t>Projection 2008 - 18 (85+)</t>
  </si>
  <si>
    <t>Local Authority Area</t>
  </si>
  <si>
    <t>Solely from Local Authority</t>
  </si>
  <si>
    <t>Combination of LA and private/voluntary sector</t>
  </si>
  <si>
    <t>Proportion (supported)</t>
  </si>
  <si>
    <t>Proportion (intensive)</t>
  </si>
  <si>
    <t>Throughout this report, all expenditure figures are expressed in real terms (calculated using the GDP deflator from HM Treasury).</t>
  </si>
  <si>
    <t>*The analysis in this document is based on actual (gross) spend data as published by the Scottish Government in the annual 'Local Government Finance Statistics' (based on financial returns made by Local Authorities throughout the financial year).</t>
  </si>
  <si>
    <t>% change 2005-08 (75-84)</t>
  </si>
  <si>
    <t>% change 2005-08
(65-74)</t>
  </si>
  <si>
    <t>Note: Other residential includes close support unit, intensive support unit, residential units outwith the local authority, homeless unit, private or NHS home, emergency accommodation, hospital, Spark of Genius, Quarriers, residential home, and other spec</t>
  </si>
  <si>
    <t>The spend shown in Figure 1 above can be further analysed as follows:</t>
  </si>
  <si>
    <t xml:space="preserve"> - Mental Health</t>
  </si>
  <si>
    <t xml:space="preserve"> - Addictions</t>
  </si>
  <si>
    <t>no. of data zones</t>
  </si>
  <si>
    <t>Edinburgh, City of</t>
  </si>
  <si>
    <t>local share (%)</t>
  </si>
  <si>
    <t>Deprivation</t>
  </si>
  <si>
    <t>NOTE TO USERS: SIMPLY PRINT THIS ANALYSIS.  NO INPUT REQUIRED</t>
  </si>
  <si>
    <t>AUTHORITY</t>
  </si>
  <si>
    <t>Three year average (2006-07 to 2008-09) -Budgeted spend vs GAE - % difference</t>
  </si>
  <si>
    <t>Rank (1=highest budget compared to GAE, 32=lowest budget compared to GAE)</t>
  </si>
  <si>
    <t>Rank (1=best PI evaluation, 32=worst PI evaluation)</t>
  </si>
  <si>
    <t>Aggregate evaluation</t>
  </si>
  <si>
    <t>(%)</t>
  </si>
  <si>
    <t>Shetland Isles</t>
  </si>
  <si>
    <t>Island authorities budget more because</t>
  </si>
  <si>
    <t>Orkney Isles</t>
  </si>
  <si>
    <t xml:space="preserve"> of additional islands allowance</t>
  </si>
  <si>
    <t>Edinburgh City</t>
  </si>
  <si>
    <t>Authorities above this line have</t>
  </si>
  <si>
    <t>budgeted more than the Scottish</t>
  </si>
  <si>
    <t>average above GAE</t>
  </si>
  <si>
    <t>Authorities below this line have</t>
  </si>
  <si>
    <t>budgeted less than the Scottish</t>
  </si>
  <si>
    <t>Budgets more than GAE above this line</t>
  </si>
  <si>
    <t>Budgets less than GAE below this line</t>
  </si>
  <si>
    <t>SCOTLAND TOTAL</t>
  </si>
  <si>
    <t>Scotland total excl. islands</t>
  </si>
  <si>
    <t>Correlations</t>
  </si>
  <si>
    <t>Ranks</t>
  </si>
  <si>
    <t>Rank PI, %GAE</t>
  </si>
  <si>
    <t>Rank GAE, agg eval PI</t>
  </si>
  <si>
    <t>Agg eval PI, %GAE</t>
  </si>
  <si>
    <t>Correlations excluding islands</t>
  </si>
  <si>
    <t>PI Evaluation</t>
  </si>
  <si>
    <t>Evaluation Score</t>
  </si>
  <si>
    <t>Deprivation %</t>
  </si>
  <si>
    <t>Scotland 2009/10</t>
  </si>
  <si>
    <t xml:space="preserve">    Intensive home care:</t>
  </si>
  <si>
    <t xml:space="preserve">    Care homes:</t>
  </si>
  <si>
    <t>Maximum intensive</t>
  </si>
  <si>
    <t>Minimum intensive</t>
  </si>
  <si>
    <t>Minimum home care</t>
  </si>
  <si>
    <t>Maximum care homes</t>
  </si>
  <si>
    <t>Rate per 1,000 population aged 0 - 17</t>
  </si>
  <si>
    <t>MIN</t>
  </si>
  <si>
    <t>MAX</t>
  </si>
  <si>
    <t>Scotland 2010/11</t>
  </si>
  <si>
    <t>2010/11</t>
  </si>
  <si>
    <t>Annex 1 in the following publication:</t>
  </si>
  <si>
    <t>http://www.gro-scotland.gov.uk/statistics/theme/population/estimates/mid-year/index.html</t>
  </si>
  <si>
    <t>Annex - Table 1</t>
  </si>
  <si>
    <t>Home Care Clients aged 65+</t>
  </si>
  <si>
    <t>Intensive Home Care (10+hrs) - calculate average over financial year period</t>
  </si>
  <si>
    <t>- Children looked after away from home by age, aged 0-17</t>
  </si>
  <si>
    <t>- Children looked after away from home by placements, aged 0-17</t>
  </si>
  <si>
    <t>- Children looked after at and away from home (balance of care), aged 0-17</t>
  </si>
  <si>
    <t>Children looked after at and away from home (balance of care) - 0-17 years</t>
  </si>
  <si>
    <t>Children looked after in residential placements (breakdown) - 0-17 years</t>
  </si>
  <si>
    <t>http://www.scotland.gov.uk/Topics/Statistics/Browse/Children/PubChildrenSocialWork</t>
  </si>
  <si>
    <t>Year needed</t>
  </si>
  <si>
    <t>Data source</t>
  </si>
  <si>
    <t>Date updated</t>
  </si>
  <si>
    <t>Date checked</t>
  </si>
  <si>
    <t>Figure</t>
  </si>
  <si>
    <t>Topic</t>
  </si>
  <si>
    <t>Total social work expenditure</t>
  </si>
  <si>
    <t>LFR data</t>
  </si>
  <si>
    <t>Social work expenditure by service area</t>
  </si>
  <si>
    <t>Total social work spend per head</t>
  </si>
  <si>
    <t>Movement in children and families social work expenditure</t>
  </si>
  <si>
    <t>Children and families social work expenditure</t>
  </si>
  <si>
    <t>Children and families social work spend per head</t>
  </si>
  <si>
    <t>Rate of children aged 0-17 looked after away from home</t>
  </si>
  <si>
    <t>LAC stats</t>
  </si>
  <si>
    <t>Tab</t>
  </si>
  <si>
    <t>Statistics - Children</t>
  </si>
  <si>
    <t>Rate of children aged 0-17 looked after away from home - age breakdown</t>
  </si>
  <si>
    <t>Balance of care, children looked after at and away from home across</t>
  </si>
  <si>
    <t>Rate of children aged 0-17 looked after away from home by placement type</t>
  </si>
  <si>
    <t>Breakdown of children looked after in residential placements</t>
  </si>
  <si>
    <t>2011-12</t>
  </si>
  <si>
    <t>Statistics - Older people</t>
  </si>
  <si>
    <t>Older people population data - % change &amp; Projections</t>
  </si>
  <si>
    <t>Ten year and twenty year projected percentage change of older people (aged 65</t>
  </si>
  <si>
    <t>Movement in older people's social work expenditure</t>
  </si>
  <si>
    <t>Older people's social work expenditure</t>
  </si>
  <si>
    <t>Population projections 65+</t>
  </si>
  <si>
    <t>NRS population projections 2013</t>
  </si>
  <si>
    <t>Rate of older people supported in care homes</t>
  </si>
  <si>
    <t>Noted in Statistics - Older people tab</t>
  </si>
  <si>
    <t>Rate of total home care hours provided</t>
  </si>
  <si>
    <t>Rate of older people receiving less than 10 hours of home care per week</t>
  </si>
  <si>
    <t>Rate of older people receiving intensive home care (10+ hours per week)</t>
  </si>
  <si>
    <t>Movement in learning disability social work expenditure</t>
  </si>
  <si>
    <t>Per head expenditure on learning disability services</t>
  </si>
  <si>
    <t>2011/12</t>
  </si>
  <si>
    <t>Movement in mental health social work expenditure</t>
  </si>
  <si>
    <t>Mental health social work expenditure</t>
  </si>
  <si>
    <t>Movement in addictions/substance misuse social work expenditure</t>
  </si>
  <si>
    <t>Addiction services per head spend</t>
  </si>
  <si>
    <t>Scotland 2011/12</t>
  </si>
  <si>
    <t>2005/06 (base)</t>
  </si>
  <si>
    <t>2012/13</t>
  </si>
  <si>
    <t>New 2012/13 tab</t>
  </si>
  <si>
    <t>2012, unless 2013 is now available - check online</t>
  </si>
  <si>
    <t>Mental health per head social work expenditure across Scotland</t>
  </si>
  <si>
    <t>Addiction services per head spend across Scotland</t>
  </si>
  <si>
    <t>Balance of care (supported in care homes / intensive home care) across Scotland</t>
  </si>
  <si>
    <t>Intensive home care provided across Scotland</t>
  </si>
  <si>
    <t>Rates of older people receiving less than 10 hours of home care per week across Scotland</t>
  </si>
  <si>
    <t>Older people social work spend per head</t>
  </si>
  <si>
    <t>Total rates of home care hours provided by sector across Scotland</t>
  </si>
  <si>
    <t>Learning disability per head spend across Scotland</t>
  </si>
  <si>
    <t>Scotland 2012/13</t>
  </si>
  <si>
    <t>65-74 (2017-2027)</t>
  </si>
  <si>
    <t>65-74 (2017-2037)</t>
  </si>
  <si>
    <t>2012 based population projections</t>
  </si>
  <si>
    <t>2012-2017</t>
  </si>
  <si>
    <t>2017-2027</t>
  </si>
  <si>
    <t>2017-2037</t>
  </si>
  <si>
    <t>http://www.nrscotland.gov.uk/statistics-and-data/statistics/statistics-by-theme/population/population-projections/sub-national-population-projections/2012-based/list-of-tables</t>
  </si>
  <si>
    <t>75-84 (2017-2027)</t>
  </si>
  <si>
    <t>75-84 (2017-2037)</t>
  </si>
  <si>
    <t>85+ (2017-2027)</t>
  </si>
  <si>
    <t>85+ (2017-2037)</t>
  </si>
  <si>
    <t>% change
2012-17
(65-74)</t>
  </si>
  <si>
    <t>% change
2012-17
(75-84)</t>
  </si>
  <si>
    <t>% change
2012-17
(85+)</t>
  </si>
  <si>
    <t>Projected Population of Scotland (2012-based) (NRS)</t>
  </si>
  <si>
    <t>Annexes A&amp;B, 2012/13</t>
  </si>
  <si>
    <t>HIV/AIDS and service to asylum seekers figures were included in substance misuse category in 2012/13: new category called "Adults with other needs".</t>
  </si>
  <si>
    <t>Adults with other needs</t>
  </si>
  <si>
    <t>*These figures mostly cover addition, but also include spend on HIV/AIDS and asylum seekers.</t>
  </si>
  <si>
    <t>Adults with other needs was "Adults with addictions/substance misuse" until 2011/12</t>
  </si>
  <si>
    <t xml:space="preserve"> - Other needs*</t>
  </si>
  <si>
    <t xml:space="preserve"> - Other Adult Groups*</t>
  </si>
  <si>
    <t>*From 2012/13, Addictions was renamed as "Other needs" and expanded to also include expenditure on HIV/AIDS (moved from "other adult groups") and asylum seekers</t>
  </si>
  <si>
    <t>In background of:</t>
  </si>
  <si>
    <t>Total home care hours by sector, 2014</t>
  </si>
  <si>
    <t>Other combination</t>
  </si>
  <si>
    <t>Projection
2017-27
(65-74)</t>
  </si>
  <si>
    <t>Projection
2017-27
(75-84)</t>
  </si>
  <si>
    <t>Projection
2017-27
(85+)</t>
  </si>
  <si>
    <t>http://www.gov.scot/Publications/2014/04/2946</t>
  </si>
  <si>
    <t>http://www.gov.scot/Publications/2013/11/8713/downloads</t>
  </si>
  <si>
    <t>http://www.gov.scot/Resource/0039/00396519.xls</t>
  </si>
  <si>
    <t>http://www.gov.scot/Topics/Statistics/Browse/Health/Data/QuarterlySurvey/QTRKMI</t>
  </si>
  <si>
    <t>http://www.gov.scot/Topics/Statistics/Browse/Health/Data/HomeCare/HSCDHomecare</t>
  </si>
  <si>
    <t>LFR Deflators</t>
  </si>
  <si>
    <t>2013/14</t>
  </si>
  <si>
    <t>GROSS SPEND - actual</t>
  </si>
  <si>
    <t>PER CAPITA - real terms</t>
  </si>
  <si>
    <t>PER CAPITA - actual</t>
  </si>
  <si>
    <t>GROSS SPEND - real terms</t>
  </si>
  <si>
    <t>Deflators</t>
  </si>
  <si>
    <t>2013/14 (2005/06 base)</t>
  </si>
  <si>
    <t>Note: Other includes with prospective adopters, supported accommodation/semi-independent living, supported tenancy, own tenancy/independent living, hostel, "Leaving Care Services", placed with carers from adult services, and "throughcare and aftercare".</t>
  </si>
  <si>
    <t>https://www.gov.uk/government/collections/gdp-deflators-at-market-prices-and-money-gdp</t>
  </si>
  <si>
    <t>Population Estimates (2003 - 2014)</t>
  </si>
  <si>
    <t>Scotland 2013/14</t>
  </si>
  <si>
    <t>Children looked after away from home by placements, 2014, 0-17 years</t>
  </si>
  <si>
    <t>Children looked after away from home by placement, 2014</t>
  </si>
  <si>
    <t>2014/15</t>
  </si>
  <si>
    <t>Rate per 1,000 (2014/15)</t>
  </si>
  <si>
    <t>*</t>
  </si>
  <si>
    <t>2006/07 (base)</t>
  </si>
  <si>
    <t>Total home care hours by sector, 2015</t>
  </si>
  <si>
    <t>Social Work Expenditure and Activity
(2005/06 to 2014/15)</t>
  </si>
  <si>
    <t>Scotland 2014/15</t>
  </si>
  <si>
    <t>Balance of care (intensive home care / care homes), 2014/15 (rate per 1,000 population aged 65+)</t>
  </si>
  <si>
    <t>2007-2015</t>
  </si>
  <si>
    <t>All of the data in these reports is taken from sets of data which have already been published.  This statistical summary collates data from a range of published data to bring it all together into one dataset. The dataset was first collated by the Social Work Inspection Agency which previously provided the individual reports to Councils.  The Care Inspectorate now undertakes this role and this is the first time the full dataset has been put online.</t>
  </si>
  <si>
    <t>All of the data in these reports is taken from sets of data which have already been published. This statistical summary collates data from a range of published data to bring it all together into one dataset. The dataset was first collated by the Social Work Inspection Agency which previously provided the individual reports to Councils. The Care Inspectorate now undertakes this role and this is the first time the full dataset has been put online.</t>
  </si>
  <si>
    <t>Scottish Local Government Financial Statistics</t>
  </si>
  <si>
    <t xml:space="preserve">Source: Local Financial Returns - </t>
  </si>
  <si>
    <t>National Records of Scotland Mid-Year Population Estimates (2014)</t>
  </si>
  <si>
    <t>Social Care Services Scotland 2015</t>
  </si>
  <si>
    <t>*In any given year capital expenditure per capita varies substantially between local authority areas. This will in part reflect the different priorities of local authorities however it also reflects differences in the timing of capital projects.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</si>
</sst>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0.0%"/>
    <numFmt numFmtId="165" formatCode="_-* #,##0_-;\-* #,##0_-;_-* &quot;-&quot;??_-;_-@_-"/>
    <numFmt numFmtId="166" formatCode="#,##0.0"/>
    <numFmt numFmtId="167" formatCode="0.0"/>
    <numFmt numFmtId="168" formatCode="0.000000000000000000000000000000"/>
    <numFmt numFmtId="169" formatCode="0.000"/>
    <numFmt numFmtId="170" formatCode="&quot;£&quot;#,##0"/>
  </numFmts>
  <fonts count="105">
    <font>
      <sz val="10"/>
      <name val="Arial"/>
    </font>
    <font>
      <sz val="10"/>
      <color theme="1"/>
      <name val="Calibri"/>
      <family val="2"/>
    </font>
    <font>
      <sz val="10"/>
      <color theme="1"/>
      <name val="Arial"/>
      <family val="2"/>
    </font>
    <font>
      <sz val="10"/>
      <color theme="1"/>
      <name val="Arial"/>
      <family val="2"/>
    </font>
    <font>
      <sz val="10"/>
      <name val="Arial"/>
      <family val="2"/>
    </font>
    <font>
      <sz val="8"/>
      <name val="Arial"/>
      <family val="2"/>
    </font>
    <font>
      <b/>
      <sz val="10"/>
      <name val="Arial"/>
      <family val="2"/>
    </font>
    <font>
      <i/>
      <sz val="10"/>
      <name val="Arial"/>
      <family val="2"/>
    </font>
    <font>
      <u/>
      <sz val="10"/>
      <color indexed="12"/>
      <name val="Arial"/>
      <family val="2"/>
    </font>
    <font>
      <b/>
      <u/>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8"/>
      <name val="Arial"/>
      <family val="2"/>
    </font>
    <font>
      <sz val="10"/>
      <name val="Geneva"/>
    </font>
    <font>
      <b/>
      <sz val="11"/>
      <color indexed="8"/>
      <name val="Arial"/>
      <family val="2"/>
    </font>
    <font>
      <sz val="10"/>
      <color indexed="63"/>
      <name val="Arial"/>
      <family val="2"/>
    </font>
    <font>
      <b/>
      <sz val="14"/>
      <color indexed="63"/>
      <name val="Arial"/>
      <family val="2"/>
    </font>
    <font>
      <sz val="11"/>
      <color indexed="63"/>
      <name val="Arial"/>
      <family val="2"/>
    </font>
    <font>
      <b/>
      <sz val="11"/>
      <color indexed="63"/>
      <name val="Arial"/>
      <family val="2"/>
    </font>
    <font>
      <b/>
      <sz val="10"/>
      <color indexed="63"/>
      <name val="Arial"/>
      <family val="2"/>
    </font>
    <font>
      <b/>
      <sz val="10"/>
      <color indexed="8"/>
      <name val="ARIAL"/>
      <family val="2"/>
    </font>
    <font>
      <sz val="10"/>
      <color indexed="63"/>
      <name val="Arial"/>
      <family val="2"/>
    </font>
    <font>
      <b/>
      <sz val="10"/>
      <color indexed="63"/>
      <name val="Arial"/>
      <family val="2"/>
    </font>
    <font>
      <b/>
      <i/>
      <sz val="10"/>
      <name val="Arial"/>
      <family val="2"/>
    </font>
    <font>
      <b/>
      <sz val="10"/>
      <name val="Arial"/>
      <family val="2"/>
    </font>
    <font>
      <i/>
      <sz val="9"/>
      <name val="Arial"/>
      <family val="2"/>
    </font>
    <font>
      <b/>
      <u/>
      <sz val="14"/>
      <name val="Arial"/>
      <family val="2"/>
    </font>
    <font>
      <sz val="8"/>
      <name val="Arial"/>
      <family val="2"/>
    </font>
    <font>
      <b/>
      <u/>
      <sz val="22"/>
      <name val="Arial"/>
      <family val="2"/>
    </font>
    <font>
      <i/>
      <sz val="8"/>
      <name val="Arial"/>
      <family val="2"/>
    </font>
    <font>
      <u/>
      <sz val="10"/>
      <name val="Arial"/>
      <family val="2"/>
    </font>
    <font>
      <b/>
      <sz val="8"/>
      <name val="Arial"/>
      <family val="2"/>
    </font>
    <font>
      <i/>
      <sz val="10"/>
      <name val="Calibri"/>
      <family val="2"/>
    </font>
    <font>
      <sz val="10"/>
      <name val="Calibri"/>
      <family val="2"/>
    </font>
    <font>
      <b/>
      <sz val="10"/>
      <name val="Calibri"/>
      <family val="2"/>
    </font>
    <font>
      <b/>
      <u/>
      <sz val="22"/>
      <name val="Calibri"/>
      <family val="2"/>
    </font>
    <font>
      <b/>
      <u/>
      <sz val="14"/>
      <name val="Calibri"/>
      <family val="2"/>
    </font>
    <font>
      <b/>
      <u/>
      <sz val="10"/>
      <name val="Calibri"/>
      <family val="2"/>
    </font>
    <font>
      <i/>
      <sz val="8"/>
      <name val="Calibri"/>
      <family val="2"/>
    </font>
    <font>
      <i/>
      <sz val="9"/>
      <name val="Calibri"/>
      <family val="2"/>
    </font>
    <font>
      <u/>
      <sz val="10"/>
      <name val="Calibri"/>
      <family val="2"/>
    </font>
    <font>
      <b/>
      <sz val="10"/>
      <color indexed="8"/>
      <name val="Calibri"/>
      <family val="2"/>
    </font>
    <font>
      <b/>
      <i/>
      <sz val="8"/>
      <name val="Calibri"/>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Times New Roman"/>
      <family val="1"/>
    </font>
    <font>
      <u/>
      <sz val="10"/>
      <color indexed="12"/>
      <name val="Times New Roman"/>
      <family val="1"/>
    </font>
    <font>
      <u/>
      <sz val="7.5"/>
      <color indexed="12"/>
      <name val="Times New Roman"/>
      <family val="1"/>
    </font>
    <font>
      <u/>
      <sz val="7.5"/>
      <color indexed="12"/>
      <name val="Arial"/>
      <family val="2"/>
    </font>
    <font>
      <sz val="12"/>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2"/>
      <color theme="1"/>
      <name val="Calibri"/>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u/>
      <sz val="10"/>
      <color theme="10"/>
      <name val="Arial"/>
      <family val="2"/>
    </font>
    <font>
      <sz val="11"/>
      <name val="Calibri"/>
      <family val="2"/>
    </font>
    <font>
      <u/>
      <sz val="8"/>
      <color indexed="12"/>
      <name val="Arial"/>
      <family val="2"/>
    </font>
    <font>
      <sz val="8"/>
      <name val="Calibri"/>
      <family val="2"/>
    </font>
    <font>
      <sz val="8"/>
      <color indexed="81"/>
      <name val="Tahoma"/>
      <family val="2"/>
    </font>
    <font>
      <b/>
      <sz val="8"/>
      <color indexed="81"/>
      <name val="Tahoma"/>
      <family val="2"/>
    </font>
    <font>
      <i/>
      <sz val="10"/>
      <color theme="1"/>
      <name val="Calibri"/>
      <family val="2"/>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9"/>
        <bgColor indexed="64"/>
      </patternFill>
    </fill>
    <fill>
      <patternFill patternType="darkDown">
        <fgColor theme="0"/>
        <bgColor theme="4" tint="0.79998168889431442"/>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Dashed">
        <color indexed="64"/>
      </right>
      <top style="thin">
        <color indexed="64"/>
      </top>
      <bottom style="thin">
        <color indexed="64"/>
      </bottom>
      <diagonal/>
    </border>
    <border>
      <left style="dashed">
        <color indexed="64"/>
      </left>
      <right style="dashed">
        <color indexed="64"/>
      </right>
      <top/>
      <bottom/>
      <diagonal/>
    </border>
    <border>
      <left/>
      <right style="dashed">
        <color indexed="64"/>
      </right>
      <top/>
      <bottom/>
      <diagonal/>
    </border>
    <border>
      <left style="dashed">
        <color indexed="64"/>
      </left>
      <right/>
      <top/>
      <bottom/>
      <diagonal/>
    </border>
    <border>
      <left/>
      <right/>
      <top style="thin">
        <color indexed="64"/>
      </top>
      <bottom style="thin">
        <color indexed="64"/>
      </bottom>
      <diagonal/>
    </border>
    <border>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Dashed">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Dashed">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Dashed">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style="thin">
        <color indexed="64"/>
      </left>
      <right/>
      <top style="thin">
        <color indexed="64"/>
      </top>
      <bottom style="medium">
        <color indexed="64"/>
      </bottom>
      <diagonal/>
    </border>
    <border>
      <left/>
      <right style="mediumDashed">
        <color indexed="64"/>
      </right>
      <top style="thin">
        <color indexed="64"/>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style="double">
        <color indexed="64"/>
      </left>
      <right/>
      <top style="double">
        <color indexed="64"/>
      </top>
      <bottom style="double">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style="mediumDashed">
        <color indexed="64"/>
      </left>
      <right/>
      <top style="thin">
        <color indexed="64"/>
      </top>
      <bottom style="thin">
        <color indexed="64"/>
      </bottom>
      <diagonal/>
    </border>
    <border>
      <left style="double">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uble">
        <color indexed="64"/>
      </right>
      <top/>
      <bottom style="thin">
        <color indexed="64"/>
      </bottom>
      <diagonal/>
    </border>
  </borders>
  <cellStyleXfs count="96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43" fontId="4"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8"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10" fillId="0" borderId="0"/>
    <xf numFmtId="0" fontId="30" fillId="0" borderId="0"/>
    <xf numFmtId="0" fontId="10" fillId="23" borderId="7" applyNumberFormat="0" applyFont="0" applyAlignment="0" applyProtection="0"/>
    <xf numFmtId="0" fontId="24" fillId="20" borderId="8" applyNumberFormat="0" applyAlignment="0" applyProtection="0"/>
    <xf numFmtId="9" fontId="4"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3" fillId="0" borderId="0"/>
    <xf numFmtId="0" fontId="60" fillId="0" borderId="0" applyNumberFormat="0" applyFill="0" applyBorder="0" applyAlignment="0" applyProtection="0"/>
    <xf numFmtId="0" fontId="61" fillId="0" borderId="89" applyNumberFormat="0" applyFill="0" applyAlignment="0" applyProtection="0"/>
    <xf numFmtId="0" fontId="62" fillId="0" borderId="90" applyNumberFormat="0" applyFill="0" applyAlignment="0" applyProtection="0"/>
    <xf numFmtId="0" fontId="63" fillId="0" borderId="91" applyNumberFormat="0" applyFill="0" applyAlignment="0" applyProtection="0"/>
    <xf numFmtId="0" fontId="63" fillId="0" borderId="0" applyNumberFormat="0" applyFill="0" applyBorder="0" applyAlignment="0" applyProtection="0"/>
    <xf numFmtId="0" fontId="64" fillId="29" borderId="0" applyNumberFormat="0" applyBorder="0" applyAlignment="0" applyProtection="0"/>
    <xf numFmtId="0" fontId="65" fillId="30" borderId="0" applyNumberFormat="0" applyBorder="0" applyAlignment="0" applyProtection="0"/>
    <xf numFmtId="0" fontId="66" fillId="31" borderId="0" applyNumberFormat="0" applyBorder="0" applyAlignment="0" applyProtection="0"/>
    <xf numFmtId="0" fontId="67" fillId="32" borderId="92" applyNumberFormat="0" applyAlignment="0" applyProtection="0"/>
    <xf numFmtId="0" fontId="68" fillId="33" borderId="93" applyNumberFormat="0" applyAlignment="0" applyProtection="0"/>
    <xf numFmtId="0" fontId="69" fillId="33" borderId="92" applyNumberFormat="0" applyAlignment="0" applyProtection="0"/>
    <xf numFmtId="0" fontId="70" fillId="0" borderId="94" applyNumberFormat="0" applyFill="0" applyAlignment="0" applyProtection="0"/>
    <xf numFmtId="0" fontId="71" fillId="34" borderId="95" applyNumberFormat="0" applyAlignment="0" applyProtection="0"/>
    <xf numFmtId="0" fontId="72" fillId="0" borderId="0" applyNumberFormat="0" applyFill="0" applyBorder="0" applyAlignment="0" applyProtection="0"/>
    <xf numFmtId="0" fontId="3" fillId="35" borderId="96" applyNumberFormat="0" applyFont="0" applyAlignment="0" applyProtection="0"/>
    <xf numFmtId="0" fontId="73" fillId="0" borderId="0" applyNumberFormat="0" applyFill="0" applyBorder="0" applyAlignment="0" applyProtection="0"/>
    <xf numFmtId="0" fontId="74" fillId="0" borderId="97" applyNumberFormat="0" applyFill="0" applyAlignment="0" applyProtection="0"/>
    <xf numFmtId="0" fontId="75"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75" fillId="55" borderId="0" applyNumberFormat="0" applyBorder="0" applyAlignment="0" applyProtection="0"/>
    <xf numFmtId="0" fontId="75"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75" fillId="59"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11" fillId="4" borderId="0" applyNumberFormat="0" applyBorder="0" applyAlignment="0" applyProtection="0"/>
    <xf numFmtId="0" fontId="3" fillId="37" borderId="0" applyNumberFormat="0" applyBorder="0" applyAlignment="0" applyProtection="0"/>
    <xf numFmtId="0" fontId="81" fillId="4" borderId="0" applyNumberFormat="0" applyBorder="0" applyAlignment="0" applyProtection="0"/>
    <xf numFmtId="0" fontId="81" fillId="53" borderId="0" applyNumberFormat="0" applyBorder="0" applyAlignment="0" applyProtection="0"/>
    <xf numFmtId="0" fontId="11" fillId="2" borderId="0" applyNumberFormat="0" applyBorder="0" applyAlignment="0" applyProtection="0"/>
    <xf numFmtId="0" fontId="3" fillId="41" borderId="0" applyNumberFormat="0" applyBorder="0" applyAlignment="0" applyProtection="0"/>
    <xf numFmtId="0" fontId="8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81" fillId="3" borderId="0" applyNumberFormat="0" applyBorder="0" applyAlignment="0" applyProtection="0"/>
    <xf numFmtId="0" fontId="11" fillId="5" borderId="0" applyNumberFormat="0" applyBorder="0" applyAlignment="0" applyProtection="0"/>
    <xf numFmtId="0" fontId="10" fillId="0" borderId="0"/>
    <xf numFmtId="0" fontId="81" fillId="2" borderId="0" applyNumberFormat="0" applyBorder="0" applyAlignment="0" applyProtection="0"/>
    <xf numFmtId="0" fontId="81" fillId="42" borderId="0" applyNumberFormat="0" applyBorder="0" applyAlignment="0" applyProtection="0"/>
    <xf numFmtId="0" fontId="12" fillId="1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11" fillId="8" borderId="0" applyNumberFormat="0" applyBorder="0" applyAlignment="0" applyProtection="0"/>
    <xf numFmtId="0" fontId="81" fillId="54" borderId="0" applyNumberFormat="0" applyBorder="0" applyAlignment="0" applyProtection="0"/>
    <xf numFmtId="0" fontId="81" fillId="50" borderId="0" applyNumberFormat="0" applyBorder="0" applyAlignment="0" applyProtection="0"/>
    <xf numFmtId="0" fontId="3" fillId="58" borderId="0" applyNumberFormat="0" applyBorder="0" applyAlignment="0" applyProtection="0"/>
    <xf numFmtId="0" fontId="81" fillId="10" borderId="0" applyNumberFormat="0" applyBorder="0" applyAlignment="0" applyProtection="0"/>
    <xf numFmtId="0" fontId="75" fillId="39" borderId="0" applyNumberFormat="0" applyBorder="0" applyAlignment="0" applyProtection="0"/>
    <xf numFmtId="0" fontId="81" fillId="58" borderId="0" applyNumberFormat="0" applyBorder="0" applyAlignment="0" applyProtection="0"/>
    <xf numFmtId="0" fontId="81" fillId="57" borderId="0" applyNumberFormat="0" applyBorder="0" applyAlignment="0" applyProtection="0"/>
    <xf numFmtId="0" fontId="11" fillId="8" borderId="0" applyNumberFormat="0" applyBorder="0" applyAlignment="0" applyProtection="0"/>
    <xf numFmtId="0" fontId="3" fillId="38" borderId="0" applyNumberFormat="0" applyBorder="0" applyAlignment="0" applyProtection="0"/>
    <xf numFmtId="0" fontId="12" fillId="9" borderId="0" applyNumberFormat="0" applyBorder="0" applyAlignment="0" applyProtection="0"/>
    <xf numFmtId="0" fontId="11" fillId="10" borderId="0" applyNumberFormat="0" applyBorder="0" applyAlignment="0" applyProtection="0"/>
    <xf numFmtId="0" fontId="82" fillId="39" borderId="0" applyNumberFormat="0" applyBorder="0" applyAlignment="0" applyProtection="0"/>
    <xf numFmtId="0" fontId="11" fillId="5" borderId="0" applyNumberFormat="0" applyBorder="0" applyAlignment="0" applyProtection="0"/>
    <xf numFmtId="0" fontId="11" fillId="9" borderId="0" applyNumberFormat="0" applyBorder="0" applyAlignment="0" applyProtection="0"/>
    <xf numFmtId="0" fontId="81" fillId="38" borderId="0" applyNumberFormat="0" applyBorder="0" applyAlignment="0" applyProtection="0"/>
    <xf numFmtId="0" fontId="11" fillId="11" borderId="0" applyNumberFormat="0" applyBorder="0" applyAlignment="0" applyProtection="0"/>
    <xf numFmtId="0" fontId="82" fillId="43" borderId="0" applyNumberFormat="0" applyBorder="0" applyAlignment="0" applyProtection="0"/>
    <xf numFmtId="0" fontId="12" fillId="10" borderId="0" applyNumberFormat="0" applyBorder="0" applyAlignment="0" applyProtection="0"/>
    <xf numFmtId="0" fontId="82" fillId="10" borderId="0" applyNumberFormat="0" applyBorder="0" applyAlignment="0" applyProtection="0"/>
    <xf numFmtId="0" fontId="75" fillId="47" borderId="0" applyNumberFormat="0" applyBorder="0" applyAlignment="0" applyProtection="0"/>
    <xf numFmtId="0" fontId="12" fillId="13" borderId="0" applyNumberFormat="0" applyBorder="0" applyAlignment="0" applyProtection="0"/>
    <xf numFmtId="0" fontId="82" fillId="13" borderId="0" applyNumberFormat="0" applyBorder="0" applyAlignment="0" applyProtection="0"/>
    <xf numFmtId="0" fontId="75" fillId="51" borderId="0" applyNumberFormat="0" applyBorder="0" applyAlignment="0" applyProtection="0"/>
    <xf numFmtId="0" fontId="12" fillId="14" borderId="0" applyNumberFormat="0" applyBorder="0" applyAlignment="0" applyProtection="0"/>
    <xf numFmtId="0" fontId="82" fillId="55" borderId="0" applyNumberFormat="0" applyBorder="0" applyAlignment="0" applyProtection="0"/>
    <xf numFmtId="0" fontId="12" fillId="15" borderId="0" applyNumberFormat="0" applyBorder="0" applyAlignment="0" applyProtection="0"/>
    <xf numFmtId="0" fontId="82" fillId="15" borderId="0" applyNumberFormat="0" applyBorder="0" applyAlignment="0" applyProtection="0"/>
    <xf numFmtId="0" fontId="75" fillId="59" borderId="0" applyNumberFormat="0" applyBorder="0" applyAlignment="0" applyProtection="0"/>
    <xf numFmtId="0" fontId="12" fillId="16" borderId="0" applyNumberFormat="0" applyBorder="0" applyAlignment="0" applyProtection="0"/>
    <xf numFmtId="0" fontId="82" fillId="36" borderId="0" applyNumberFormat="0" applyBorder="0" applyAlignment="0" applyProtection="0"/>
    <xf numFmtId="0" fontId="75" fillId="36" borderId="0" applyNumberFormat="0" applyBorder="0" applyAlignment="0" applyProtection="0"/>
    <xf numFmtId="0" fontId="12" fillId="17" borderId="0" applyNumberFormat="0" applyBorder="0" applyAlignment="0" applyProtection="0"/>
    <xf numFmtId="0" fontId="82" fillId="40" borderId="0" applyNumberFormat="0" applyBorder="0" applyAlignment="0" applyProtection="0"/>
    <xf numFmtId="0" fontId="75" fillId="40" borderId="0" applyNumberFormat="0" applyBorder="0" applyAlignment="0" applyProtection="0"/>
    <xf numFmtId="0" fontId="12" fillId="18" borderId="0" applyNumberFormat="0" applyBorder="0" applyAlignment="0" applyProtection="0"/>
    <xf numFmtId="0" fontId="82" fillId="44" borderId="0" applyNumberFormat="0" applyBorder="0" applyAlignment="0" applyProtection="0"/>
    <xf numFmtId="0" fontId="75" fillId="44" borderId="0" applyNumberFormat="0" applyBorder="0" applyAlignment="0" applyProtection="0"/>
    <xf numFmtId="0" fontId="12" fillId="13" borderId="0" applyNumberFormat="0" applyBorder="0" applyAlignment="0" applyProtection="0"/>
    <xf numFmtId="0" fontId="82" fillId="48" borderId="0" applyNumberFormat="0" applyBorder="0" applyAlignment="0" applyProtection="0"/>
    <xf numFmtId="0" fontId="75" fillId="48" borderId="0" applyNumberFormat="0" applyBorder="0" applyAlignment="0" applyProtection="0"/>
    <xf numFmtId="0" fontId="12" fillId="14" borderId="0" applyNumberFormat="0" applyBorder="0" applyAlignment="0" applyProtection="0"/>
    <xf numFmtId="0" fontId="82" fillId="52" borderId="0" applyNumberFormat="0" applyBorder="0" applyAlignment="0" applyProtection="0"/>
    <xf numFmtId="0" fontId="12" fillId="19" borderId="0" applyNumberFormat="0" applyBorder="0" applyAlignment="0" applyProtection="0"/>
    <xf numFmtId="0" fontId="82" fillId="56" borderId="0" applyNumberFormat="0" applyBorder="0" applyAlignment="0" applyProtection="0"/>
    <xf numFmtId="0" fontId="13" fillId="3" borderId="0" applyNumberFormat="0" applyBorder="0" applyAlignment="0" applyProtection="0"/>
    <xf numFmtId="0" fontId="83" fillId="30" borderId="0" applyNumberFormat="0" applyBorder="0" applyAlignment="0" applyProtection="0"/>
    <xf numFmtId="0" fontId="65" fillId="30" borderId="0" applyNumberFormat="0" applyBorder="0" applyAlignment="0" applyProtection="0"/>
    <xf numFmtId="0" fontId="14" fillId="20" borderId="1" applyNumberFormat="0" applyAlignment="0" applyProtection="0"/>
    <xf numFmtId="0" fontId="84" fillId="33" borderId="92" applyNumberFormat="0" applyAlignment="0" applyProtection="0"/>
    <xf numFmtId="0" fontId="14" fillId="20" borderId="1" applyNumberFormat="0" applyAlignment="0" applyProtection="0"/>
    <xf numFmtId="0" fontId="69" fillId="33" borderId="92" applyNumberFormat="0" applyAlignment="0" applyProtection="0"/>
    <xf numFmtId="0" fontId="15" fillId="21" borderId="2" applyNumberFormat="0" applyAlignment="0" applyProtection="0"/>
    <xf numFmtId="0" fontId="85" fillId="34" borderId="9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6" fillId="0" borderId="0" applyNumberFormat="0" applyFill="0" applyBorder="0" applyAlignment="0" applyProtection="0"/>
    <xf numFmtId="0" fontId="87" fillId="0" borderId="0" applyNumberFormat="0" applyFill="0" applyBorder="0" applyAlignment="0" applyProtection="0"/>
    <xf numFmtId="0" fontId="17" fillId="4" borderId="0" applyNumberFormat="0" applyBorder="0" applyAlignment="0" applyProtection="0"/>
    <xf numFmtId="0" fontId="88" fillId="29" borderId="0" applyNumberFormat="0" applyBorder="0" applyAlignment="0" applyProtection="0"/>
    <xf numFmtId="0" fontId="18" fillId="0" borderId="3" applyNumberFormat="0" applyFill="0" applyAlignment="0" applyProtection="0"/>
    <xf numFmtId="0" fontId="89" fillId="0" borderId="89" applyNumberFormat="0" applyFill="0" applyAlignment="0" applyProtection="0"/>
    <xf numFmtId="0" fontId="61" fillId="0" borderId="89" applyNumberFormat="0" applyFill="0" applyAlignment="0" applyProtection="0"/>
    <xf numFmtId="0" fontId="19" fillId="0" borderId="4" applyNumberFormat="0" applyFill="0" applyAlignment="0" applyProtection="0"/>
    <xf numFmtId="0" fontId="90" fillId="0" borderId="90" applyNumberFormat="0" applyFill="0" applyAlignment="0" applyProtection="0"/>
    <xf numFmtId="0" fontId="62" fillId="0" borderId="90" applyNumberFormat="0" applyFill="0" applyAlignment="0" applyProtection="0"/>
    <xf numFmtId="0" fontId="20" fillId="0" borderId="5" applyNumberFormat="0" applyFill="0" applyAlignment="0" applyProtection="0"/>
    <xf numFmtId="0" fontId="91" fillId="0" borderId="91" applyNumberFormat="0" applyFill="0" applyAlignment="0" applyProtection="0"/>
    <xf numFmtId="0" fontId="63" fillId="0" borderId="91" applyNumberFormat="0" applyFill="0" applyAlignment="0" applyProtection="0"/>
    <xf numFmtId="0" fontId="20" fillId="0" borderId="0" applyNumberFormat="0" applyFill="0" applyBorder="0" applyAlignment="0" applyProtection="0"/>
    <xf numFmtId="0" fontId="91" fillId="0" borderId="0" applyNumberFormat="0" applyFill="0" applyBorder="0" applyAlignment="0" applyProtection="0"/>
    <xf numFmtId="0" fontId="63" fillId="0" borderId="0" applyNumberFormat="0" applyFill="0" applyBorder="0" applyAlignment="0" applyProtection="0"/>
    <xf numFmtId="0" fontId="77" fillId="0" borderId="0" applyNumberFormat="0" applyFill="0" applyBorder="0" applyAlignment="0" applyProtection="0">
      <alignment vertical="top"/>
      <protection locked="0"/>
    </xf>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7" borderId="1" applyNumberFormat="0" applyAlignment="0" applyProtection="0"/>
    <xf numFmtId="0" fontId="92" fillId="32" borderId="92" applyNumberFormat="0" applyAlignment="0" applyProtection="0"/>
    <xf numFmtId="0" fontId="21" fillId="7" borderId="1" applyNumberFormat="0" applyAlignment="0" applyProtection="0"/>
    <xf numFmtId="0" fontId="22" fillId="0" borderId="6" applyNumberFormat="0" applyFill="0" applyAlignment="0" applyProtection="0"/>
    <xf numFmtId="0" fontId="93" fillId="0" borderId="94" applyNumberFormat="0" applyFill="0" applyAlignment="0" applyProtection="0"/>
    <xf numFmtId="0" fontId="23" fillId="22" borderId="0" applyNumberFormat="0" applyBorder="0" applyAlignment="0" applyProtection="0"/>
    <xf numFmtId="0" fontId="94" fillId="31" borderId="0" applyNumberFormat="0" applyBorder="0" applyAlignment="0" applyProtection="0"/>
    <xf numFmtId="0" fontId="3" fillId="0" borderId="0"/>
    <xf numFmtId="0" fontId="3" fillId="0" borderId="0"/>
    <xf numFmtId="0" fontId="3" fillId="0" borderId="0"/>
    <xf numFmtId="0" fontId="3" fillId="0" borderId="0"/>
    <xf numFmtId="0" fontId="10" fillId="0" borderId="0"/>
    <xf numFmtId="0" fontId="10" fillId="0" borderId="0"/>
    <xf numFmtId="0" fontId="3" fillId="0" borderId="0"/>
    <xf numFmtId="0" fontId="3" fillId="0" borderId="0"/>
    <xf numFmtId="0" fontId="3" fillId="0" borderId="0"/>
    <xf numFmtId="0" fontId="10" fillId="0" borderId="0"/>
    <xf numFmtId="0" fontId="3" fillId="0" borderId="0"/>
    <xf numFmtId="0" fontId="86" fillId="0" borderId="0"/>
    <xf numFmtId="0" fontId="3" fillId="0" borderId="0"/>
    <xf numFmtId="0" fontId="10"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3" fillId="0" borderId="0"/>
    <xf numFmtId="0" fontId="76" fillId="0" borderId="0"/>
    <xf numFmtId="0" fontId="81"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0"/>
    <xf numFmtId="0" fontId="3" fillId="0" borderId="0"/>
    <xf numFmtId="0" fontId="3" fillId="0" borderId="0"/>
    <xf numFmtId="0" fontId="3" fillId="0" borderId="0"/>
    <xf numFmtId="0" fontId="3" fillId="0" borderId="0"/>
    <xf numFmtId="0" fontId="10" fillId="0" borderId="0"/>
    <xf numFmtId="0" fontId="80" fillId="0" borderId="0"/>
    <xf numFmtId="0" fontId="10"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0" fillId="0" borderId="0"/>
    <xf numFmtId="3" fontId="10" fillId="0" borderId="0"/>
    <xf numFmtId="3" fontId="10" fillId="0" borderId="0"/>
    <xf numFmtId="3" fontId="10" fillId="0" borderId="0"/>
    <xf numFmtId="3" fontId="10" fillId="0" borderId="0"/>
    <xf numFmtId="0" fontId="11" fillId="23" borderId="7" applyNumberFormat="0" applyFont="0" applyAlignment="0" applyProtection="0"/>
    <xf numFmtId="0" fontId="3" fillId="35" borderId="96" applyNumberFormat="0" applyFont="0" applyAlignment="0" applyProtection="0"/>
    <xf numFmtId="0" fontId="11" fillId="23" borderId="7" applyNumberFormat="0" applyFont="0" applyAlignment="0" applyProtection="0"/>
    <xf numFmtId="0" fontId="11" fillId="35" borderId="96" applyNumberFormat="0" applyFont="0" applyAlignment="0" applyProtection="0"/>
    <xf numFmtId="0" fontId="24" fillId="20" borderId="8" applyNumberFormat="0" applyAlignment="0" applyProtection="0"/>
    <xf numFmtId="0" fontId="95" fillId="33" borderId="93" applyNumberFormat="0" applyAlignment="0" applyProtection="0"/>
    <xf numFmtId="0" fontId="24" fillId="20" borderId="8" applyNumberFormat="0" applyAlignment="0" applyProtection="0"/>
    <xf numFmtId="0" fontId="68" fillId="33" borderId="93"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pplyNumberFormat="0" applyFill="0" applyBorder="0" applyAlignment="0" applyProtection="0"/>
    <xf numFmtId="0" fontId="60" fillId="0" borderId="0" applyNumberFormat="0" applyFill="0" applyBorder="0" applyAlignment="0" applyProtection="0"/>
    <xf numFmtId="0" fontId="26" fillId="0" borderId="9" applyNumberFormat="0" applyFill="0" applyAlignment="0" applyProtection="0"/>
    <xf numFmtId="0" fontId="96" fillId="0" borderId="97" applyNumberFormat="0" applyFill="0" applyAlignment="0" applyProtection="0"/>
    <xf numFmtId="0" fontId="26" fillId="0" borderId="9" applyNumberFormat="0" applyFill="0" applyAlignment="0" applyProtection="0"/>
    <xf numFmtId="0" fontId="74" fillId="0" borderId="97" applyNumberFormat="0" applyFill="0" applyAlignment="0" applyProtection="0"/>
    <xf numFmtId="0" fontId="27" fillId="0" borderId="0" applyNumberFormat="0" applyFill="0" applyBorder="0" applyAlignment="0" applyProtection="0"/>
    <xf numFmtId="0" fontId="97"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23" borderId="7" applyNumberFormat="0" applyFont="0" applyAlignment="0" applyProtection="0"/>
    <xf numFmtId="0" fontId="3" fillId="0" borderId="0"/>
    <xf numFmtId="0" fontId="60" fillId="0" borderId="0" applyNumberFormat="0" applyFill="0" applyBorder="0" applyAlignment="0" applyProtection="0"/>
    <xf numFmtId="0" fontId="61" fillId="0" borderId="89" applyNumberFormat="0" applyFill="0" applyAlignment="0" applyProtection="0"/>
    <xf numFmtId="0" fontId="62" fillId="0" borderId="90" applyNumberFormat="0" applyFill="0" applyAlignment="0" applyProtection="0"/>
    <xf numFmtId="0" fontId="63" fillId="0" borderId="91" applyNumberFormat="0" applyFill="0" applyAlignment="0" applyProtection="0"/>
    <xf numFmtId="0" fontId="63" fillId="0" borderId="0" applyNumberFormat="0" applyFill="0" applyBorder="0" applyAlignment="0" applyProtection="0"/>
    <xf numFmtId="0" fontId="64" fillId="29" borderId="0" applyNumberFormat="0" applyBorder="0" applyAlignment="0" applyProtection="0"/>
    <xf numFmtId="0" fontId="65" fillId="30" borderId="0" applyNumberFormat="0" applyBorder="0" applyAlignment="0" applyProtection="0"/>
    <xf numFmtId="0" fontId="66" fillId="31" borderId="0" applyNumberFormat="0" applyBorder="0" applyAlignment="0" applyProtection="0"/>
    <xf numFmtId="0" fontId="67" fillId="32" borderId="92" applyNumberFormat="0" applyAlignment="0" applyProtection="0"/>
    <xf numFmtId="0" fontId="68" fillId="33" borderId="93" applyNumberFormat="0" applyAlignment="0" applyProtection="0"/>
    <xf numFmtId="0" fontId="69" fillId="33" borderId="92" applyNumberFormat="0" applyAlignment="0" applyProtection="0"/>
    <xf numFmtId="0" fontId="70" fillId="0" borderId="94" applyNumberFormat="0" applyFill="0" applyAlignment="0" applyProtection="0"/>
    <xf numFmtId="0" fontId="71" fillId="34" borderId="95" applyNumberFormat="0" applyAlignment="0" applyProtection="0"/>
    <xf numFmtId="0" fontId="72" fillId="0" borderId="0" applyNumberFormat="0" applyFill="0" applyBorder="0" applyAlignment="0" applyProtection="0"/>
    <xf numFmtId="0" fontId="3" fillId="35" borderId="96" applyNumberFormat="0" applyFont="0" applyAlignment="0" applyProtection="0"/>
    <xf numFmtId="0" fontId="73" fillId="0" borderId="0" applyNumberFormat="0" applyFill="0" applyBorder="0" applyAlignment="0" applyProtection="0"/>
    <xf numFmtId="0" fontId="74" fillId="0" borderId="97" applyNumberFormat="0" applyFill="0" applyAlignment="0" applyProtection="0"/>
    <xf numFmtId="0" fontId="75"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75" fillId="55" borderId="0" applyNumberFormat="0" applyBorder="0" applyAlignment="0" applyProtection="0"/>
    <xf numFmtId="0" fontId="75"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75" fillId="59" borderId="0" applyNumberFormat="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98" fillId="0" borderId="0" applyNumberFormat="0" applyFill="0" applyBorder="0" applyAlignment="0" applyProtection="0"/>
    <xf numFmtId="0" fontId="3" fillId="0" borderId="0"/>
    <xf numFmtId="0" fontId="3" fillId="35" borderId="96"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8" borderId="0" applyNumberFormat="0" applyBorder="0" applyAlignment="0" applyProtection="0"/>
    <xf numFmtId="0" fontId="3"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96" applyNumberFormat="0" applyFont="0" applyAlignment="0" applyProtection="0"/>
    <xf numFmtId="43" fontId="10" fillId="0" borderId="0" applyFont="0" applyFill="0" applyBorder="0" applyAlignment="0" applyProtection="0"/>
    <xf numFmtId="0" fontId="3" fillId="0" borderId="0"/>
    <xf numFmtId="0" fontId="3" fillId="35" borderId="96"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43" fontId="10" fillId="0" borderId="0" applyFont="0" applyFill="0" applyBorder="0" applyAlignment="0" applyProtection="0"/>
    <xf numFmtId="0" fontId="3" fillId="0" borderId="0"/>
    <xf numFmtId="0" fontId="3" fillId="35" borderId="96"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8" borderId="0" applyNumberFormat="0" applyBorder="0" applyAlignment="0" applyProtection="0"/>
    <xf numFmtId="0" fontId="3"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96" applyNumberFormat="0" applyFont="0" applyAlignment="0" applyProtection="0"/>
    <xf numFmtId="0" fontId="3" fillId="0" borderId="0"/>
    <xf numFmtId="0" fontId="3" fillId="35" borderId="96"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4" fillId="0" borderId="0"/>
    <xf numFmtId="0" fontId="4" fillId="0" borderId="0"/>
    <xf numFmtId="0" fontId="4" fillId="0" borderId="0"/>
    <xf numFmtId="3"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8" borderId="0" applyNumberFormat="0" applyBorder="0" applyAlignment="0" applyProtection="0"/>
    <xf numFmtId="0" fontId="2" fillId="3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96" applyNumberFormat="0" applyFont="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8" borderId="0" applyNumberFormat="0" applyBorder="0" applyAlignment="0" applyProtection="0"/>
    <xf numFmtId="0" fontId="2" fillId="3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96" applyNumberFormat="0" applyFont="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8" borderId="0" applyNumberFormat="0" applyBorder="0" applyAlignment="0" applyProtection="0"/>
    <xf numFmtId="0" fontId="2" fillId="3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96" applyNumberFormat="0" applyFont="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0" borderId="0"/>
    <xf numFmtId="0" fontId="2" fillId="35" borderId="96"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10" fillId="0" borderId="0"/>
    <xf numFmtId="0" fontId="10" fillId="0" borderId="0"/>
    <xf numFmtId="0" fontId="10" fillId="0" borderId="0"/>
    <xf numFmtId="3"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 fillId="0" borderId="0"/>
    <xf numFmtId="0" fontId="1" fillId="0" borderId="0"/>
  </cellStyleXfs>
  <cellXfs count="776">
    <xf numFmtId="0" fontId="0" fillId="0" borderId="0" xfId="0"/>
    <xf numFmtId="0" fontId="6" fillId="0" borderId="0" xfId="0" applyFont="1"/>
    <xf numFmtId="0" fontId="7" fillId="0" borderId="10" xfId="0" applyFont="1" applyBorder="1"/>
    <xf numFmtId="0" fontId="0" fillId="0" borderId="0" xfId="0" applyBorder="1"/>
    <xf numFmtId="0" fontId="0" fillId="0" borderId="10" xfId="0" applyBorder="1"/>
    <xf numFmtId="0" fontId="7" fillId="0" borderId="0" xfId="0" applyFont="1" applyBorder="1"/>
    <xf numFmtId="0" fontId="8" fillId="0" borderId="0" xfId="35" applyBorder="1" applyAlignment="1" applyProtection="1"/>
    <xf numFmtId="3" fontId="0" fillId="24" borderId="11" xfId="0" applyNumberFormat="1" applyFill="1" applyBorder="1"/>
    <xf numFmtId="3" fontId="0" fillId="25" borderId="11" xfId="0" applyNumberFormat="1" applyFill="1" applyBorder="1"/>
    <xf numFmtId="0" fontId="6" fillId="24" borderId="11" xfId="0" applyFont="1" applyFill="1" applyBorder="1" applyAlignment="1">
      <alignment wrapText="1"/>
    </xf>
    <xf numFmtId="0" fontId="6" fillId="25" borderId="11" xfId="0" applyFont="1" applyFill="1" applyBorder="1" applyAlignment="1">
      <alignment wrapText="1"/>
    </xf>
    <xf numFmtId="3" fontId="0" fillId="0" borderId="0" xfId="0" applyNumberFormat="1"/>
    <xf numFmtId="0" fontId="6" fillId="0" borderId="11" xfId="0" applyFont="1" applyFill="1" applyBorder="1" applyAlignment="1">
      <alignment wrapText="1"/>
    </xf>
    <xf numFmtId="0" fontId="0" fillId="0" borderId="0" xfId="0" applyFill="1"/>
    <xf numFmtId="3" fontId="0" fillId="0" borderId="11" xfId="0" applyNumberFormat="1" applyFill="1" applyBorder="1"/>
    <xf numFmtId="164" fontId="0" fillId="0" borderId="0" xfId="43" applyNumberFormat="1" applyFont="1"/>
    <xf numFmtId="0" fontId="0" fillId="0" borderId="0" xfId="0" quotePrefix="1"/>
    <xf numFmtId="164" fontId="6" fillId="25" borderId="11" xfId="43" applyNumberFormat="1" applyFont="1" applyFill="1" applyBorder="1" applyAlignment="1">
      <alignment wrapText="1"/>
    </xf>
    <xf numFmtId="9" fontId="0" fillId="0" borderId="0" xfId="43" applyFont="1"/>
    <xf numFmtId="3" fontId="0" fillId="0" borderId="0" xfId="0" applyNumberFormat="1" applyFill="1" applyBorder="1" applyAlignment="1">
      <alignment horizontal="center"/>
    </xf>
    <xf numFmtId="9" fontId="0" fillId="0" borderId="0" xfId="43" applyFont="1" applyFill="1" applyBorder="1" applyAlignment="1">
      <alignment horizontal="center"/>
    </xf>
    <xf numFmtId="0" fontId="6" fillId="24" borderId="11" xfId="0" applyFont="1" applyFill="1" applyBorder="1" applyAlignment="1" applyProtection="1">
      <alignment wrapText="1"/>
      <protection hidden="1"/>
    </xf>
    <xf numFmtId="0" fontId="0" fillId="0" borderId="0" xfId="0" applyProtection="1">
      <protection hidden="1"/>
    </xf>
    <xf numFmtId="0" fontId="28" fillId="0" borderId="0" xfId="0" applyFont="1" applyFill="1" applyBorder="1"/>
    <xf numFmtId="0" fontId="29" fillId="0" borderId="0" xfId="0" applyFont="1" applyFill="1" applyBorder="1"/>
    <xf numFmtId="0" fontId="32" fillId="0" borderId="0" xfId="0" applyFont="1" applyFill="1" applyBorder="1"/>
    <xf numFmtId="0" fontId="33" fillId="0" borderId="0" xfId="0" applyFont="1" applyFill="1" applyBorder="1"/>
    <xf numFmtId="1" fontId="34" fillId="0" borderId="0" xfId="40" applyNumberFormat="1" applyFont="1" applyFill="1" applyBorder="1" applyAlignment="1">
      <alignment horizontal="center"/>
    </xf>
    <xf numFmtId="0" fontId="35" fillId="0" borderId="12" xfId="40" applyFont="1" applyFill="1" applyBorder="1" applyAlignment="1">
      <alignment horizontal="center" vertical="center" wrapText="1"/>
    </xf>
    <xf numFmtId="164" fontId="32" fillId="0" borderId="13" xfId="43" applyNumberFormat="1" applyFont="1" applyBorder="1" applyAlignment="1"/>
    <xf numFmtId="164" fontId="32" fillId="0" borderId="14" xfId="43" applyNumberFormat="1" applyFont="1" applyBorder="1" applyAlignment="1"/>
    <xf numFmtId="164" fontId="36" fillId="0" borderId="15" xfId="43" applyNumberFormat="1" applyFont="1" applyBorder="1" applyAlignment="1"/>
    <xf numFmtId="0" fontId="36" fillId="0" borderId="0" xfId="0" applyFont="1" applyFill="1" applyBorder="1" applyAlignment="1">
      <alignment horizontal="right"/>
    </xf>
    <xf numFmtId="164" fontId="36" fillId="0" borderId="13" xfId="43" applyNumberFormat="1" applyFont="1" applyFill="1" applyBorder="1" applyAlignment="1">
      <alignment horizontal="right" indent="1"/>
    </xf>
    <xf numFmtId="164" fontId="36" fillId="0" borderId="15" xfId="43" applyNumberFormat="1" applyFont="1" applyFill="1" applyBorder="1" applyAlignment="1">
      <alignment horizontal="right" indent="1"/>
    </xf>
    <xf numFmtId="164" fontId="29" fillId="0" borderId="0" xfId="0" applyNumberFormat="1" applyFont="1" applyFill="1" applyBorder="1"/>
    <xf numFmtId="0" fontId="38" fillId="0" borderId="0" xfId="0" applyFont="1" applyFill="1" applyBorder="1"/>
    <xf numFmtId="0" fontId="39" fillId="0" borderId="0" xfId="0" applyFont="1" applyFill="1" applyBorder="1" applyAlignment="1">
      <alignment horizontal="right"/>
    </xf>
    <xf numFmtId="0" fontId="31" fillId="25" borderId="12" xfId="40" applyFont="1" applyFill="1" applyBorder="1" applyAlignment="1">
      <alignment horizontal="center" vertical="center" wrapText="1"/>
    </xf>
    <xf numFmtId="3" fontId="10" fillId="25" borderId="13" xfId="39" applyNumberFormat="1" applyFont="1" applyFill="1" applyBorder="1" applyAlignment="1"/>
    <xf numFmtId="3" fontId="10" fillId="25" borderId="14" xfId="39" applyNumberFormat="1" applyFont="1" applyFill="1" applyBorder="1" applyAlignment="1"/>
    <xf numFmtId="3" fontId="6" fillId="25" borderId="15" xfId="39" applyNumberFormat="1" applyFont="1" applyFill="1" applyBorder="1" applyAlignment="1"/>
    <xf numFmtId="0" fontId="31" fillId="24" borderId="16" xfId="40" applyFont="1" applyFill="1" applyBorder="1" applyAlignment="1">
      <alignment horizontal="center" vertical="center" wrapText="1"/>
    </xf>
    <xf numFmtId="3" fontId="37" fillId="24" borderId="13" xfId="0" applyNumberFormat="1" applyFont="1" applyFill="1" applyBorder="1" applyAlignment="1">
      <alignment horizontal="right" indent="1"/>
    </xf>
    <xf numFmtId="3" fontId="37" fillId="24" borderId="14" xfId="0" applyNumberFormat="1" applyFont="1" applyFill="1" applyBorder="1" applyAlignment="1">
      <alignment horizontal="right" indent="1"/>
    </xf>
    <xf numFmtId="3" fontId="37" fillId="24" borderId="15" xfId="0" applyNumberFormat="1" applyFont="1" applyFill="1" applyBorder="1" applyAlignment="1">
      <alignment horizontal="right" indent="1"/>
    </xf>
    <xf numFmtId="0" fontId="31" fillId="25" borderId="16" xfId="40" applyFont="1" applyFill="1" applyBorder="1" applyAlignment="1">
      <alignment horizontal="center" vertical="center" wrapText="1"/>
    </xf>
    <xf numFmtId="3" fontId="37" fillId="25" borderId="13" xfId="0" applyNumberFormat="1" applyFont="1" applyFill="1" applyBorder="1" applyAlignment="1">
      <alignment horizontal="right" indent="1"/>
    </xf>
    <xf numFmtId="3" fontId="37" fillId="25" borderId="14" xfId="0" applyNumberFormat="1" applyFont="1" applyFill="1" applyBorder="1" applyAlignment="1">
      <alignment horizontal="right" indent="1"/>
    </xf>
    <xf numFmtId="3" fontId="37" fillId="25" borderId="15" xfId="0" applyNumberFormat="1" applyFont="1" applyFill="1" applyBorder="1" applyAlignment="1">
      <alignment horizontal="right" indent="1"/>
    </xf>
    <xf numFmtId="0" fontId="10" fillId="0" borderId="0" xfId="0" quotePrefix="1" applyFont="1"/>
    <xf numFmtId="0" fontId="31" fillId="0" borderId="12" xfId="40" applyFont="1" applyFill="1" applyBorder="1" applyAlignment="1">
      <alignment horizontal="center" vertical="center" wrapText="1"/>
    </xf>
    <xf numFmtId="3" fontId="6" fillId="24" borderId="11" xfId="0" applyNumberFormat="1" applyFont="1" applyFill="1" applyBorder="1"/>
    <xf numFmtId="3" fontId="6" fillId="25" borderId="11" xfId="0" applyNumberFormat="1" applyFont="1" applyFill="1" applyBorder="1"/>
    <xf numFmtId="0" fontId="8" fillId="0" borderId="0" xfId="35" applyBorder="1" applyAlignment="1" applyProtection="1">
      <alignment horizontal="left"/>
    </xf>
    <xf numFmtId="0" fontId="0" fillId="0" borderId="0" xfId="0" applyBorder="1" applyAlignment="1">
      <alignment horizontal="left"/>
    </xf>
    <xf numFmtId="3" fontId="6" fillId="24" borderId="0" xfId="0" applyNumberFormat="1" applyFont="1" applyFill="1" applyBorder="1"/>
    <xf numFmtId="9" fontId="6" fillId="25" borderId="0" xfId="43" applyFont="1" applyFill="1" applyBorder="1"/>
    <xf numFmtId="9" fontId="6" fillId="24" borderId="0" xfId="43" applyFont="1" applyFill="1" applyBorder="1"/>
    <xf numFmtId="164" fontId="6" fillId="24" borderId="11" xfId="43" applyNumberFormat="1" applyFont="1" applyFill="1" applyBorder="1"/>
    <xf numFmtId="164" fontId="6" fillId="25" borderId="11" xfId="43" applyNumberFormat="1" applyFont="1" applyFill="1" applyBorder="1"/>
    <xf numFmtId="0" fontId="0" fillId="0" borderId="0" xfId="0" applyAlignment="1">
      <alignment horizontal="left" wrapText="1"/>
    </xf>
    <xf numFmtId="3" fontId="6" fillId="0" borderId="11" xfId="0" applyNumberFormat="1" applyFont="1" applyFill="1" applyBorder="1"/>
    <xf numFmtId="0" fontId="6" fillId="0" borderId="11" xfId="0" applyFont="1" applyFill="1" applyBorder="1" applyAlignment="1">
      <alignment horizontal="center" wrapText="1"/>
    </xf>
    <xf numFmtId="0" fontId="6" fillId="0" borderId="17" xfId="0" applyFont="1" applyBorder="1"/>
    <xf numFmtId="0" fontId="0" fillId="0" borderId="18" xfId="0" applyBorder="1"/>
    <xf numFmtId="0" fontId="6" fillId="0" borderId="19" xfId="0" applyFont="1" applyBorder="1" applyAlignment="1">
      <alignment horizontal="center"/>
    </xf>
    <xf numFmtId="3" fontId="6" fillId="25" borderId="11" xfId="0" applyNumberFormat="1" applyFont="1" applyFill="1" applyBorder="1" applyAlignment="1">
      <alignment wrapText="1"/>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0" fontId="6" fillId="0" borderId="23" xfId="0" applyFont="1" applyBorder="1" applyAlignment="1">
      <alignment horizontal="center"/>
    </xf>
    <xf numFmtId="3" fontId="0" fillId="0" borderId="24" xfId="0" applyNumberFormat="1" applyBorder="1"/>
    <xf numFmtId="3" fontId="0" fillId="0" borderId="25" xfId="0" applyNumberFormat="1" applyBorder="1"/>
    <xf numFmtId="3" fontId="0" fillId="0" borderId="26" xfId="0" applyNumberFormat="1" applyBorder="1"/>
    <xf numFmtId="3" fontId="0" fillId="0" borderId="27" xfId="0" applyNumberFormat="1" applyBorder="1"/>
    <xf numFmtId="3" fontId="0" fillId="0" borderId="28" xfId="0" applyNumberFormat="1" applyBorder="1"/>
    <xf numFmtId="3" fontId="0" fillId="0" borderId="29" xfId="0" applyNumberFormat="1" applyBorder="1"/>
    <xf numFmtId="3" fontId="0" fillId="0" borderId="11" xfId="0" applyNumberFormat="1" applyBorder="1"/>
    <xf numFmtId="3" fontId="0" fillId="0" borderId="30" xfId="0" applyNumberFormat="1" applyBorder="1"/>
    <xf numFmtId="3" fontId="6" fillId="0" borderId="31" xfId="0" applyNumberFormat="1" applyFont="1" applyBorder="1"/>
    <xf numFmtId="3" fontId="6" fillId="0" borderId="32" xfId="0" applyNumberFormat="1" applyFont="1" applyBorder="1"/>
    <xf numFmtId="3" fontId="6" fillId="0" borderId="33" xfId="0" applyNumberFormat="1" applyFont="1" applyBorder="1"/>
    <xf numFmtId="3" fontId="6" fillId="0" borderId="34" xfId="0" applyNumberFormat="1" applyFont="1" applyBorder="1"/>
    <xf numFmtId="3" fontId="6" fillId="0" borderId="0" xfId="0" applyNumberFormat="1" applyFont="1"/>
    <xf numFmtId="0" fontId="8" fillId="0" borderId="0" xfId="35" applyAlignment="1" applyProtection="1"/>
    <xf numFmtId="3" fontId="10" fillId="24" borderId="11" xfId="0" applyNumberFormat="1" applyFont="1" applyFill="1" applyBorder="1"/>
    <xf numFmtId="165" fontId="0" fillId="0" borderId="0" xfId="28" applyNumberFormat="1" applyFont="1"/>
    <xf numFmtId="0" fontId="9" fillId="0" borderId="0" xfId="0" applyFont="1"/>
    <xf numFmtId="3" fontId="0" fillId="24" borderId="0" xfId="0" applyNumberFormat="1" applyFill="1" applyBorder="1"/>
    <xf numFmtId="167" fontId="0" fillId="0" borderId="0" xfId="0" applyNumberFormat="1"/>
    <xf numFmtId="0" fontId="0" fillId="0" borderId="11" xfId="0" applyBorder="1"/>
    <xf numFmtId="0" fontId="41" fillId="0" borderId="11" xfId="0" applyFont="1" applyBorder="1" applyAlignment="1">
      <alignment horizontal="center" vertical="center" wrapText="1"/>
    </xf>
    <xf numFmtId="167" fontId="0" fillId="0" borderId="11" xfId="0" applyNumberFormat="1" applyBorder="1"/>
    <xf numFmtId="0" fontId="6" fillId="0" borderId="11" xfId="0" applyFont="1" applyBorder="1"/>
    <xf numFmtId="167" fontId="6" fillId="0" borderId="11" xfId="0" applyNumberFormat="1" applyFont="1" applyBorder="1"/>
    <xf numFmtId="0" fontId="6" fillId="0" borderId="0" xfId="0" applyFont="1" applyAlignment="1">
      <alignment horizontal="left"/>
    </xf>
    <xf numFmtId="0" fontId="0" fillId="0" borderId="0" xfId="0" applyAlignment="1">
      <alignment horizontal="center"/>
    </xf>
    <xf numFmtId="0" fontId="0" fillId="0" borderId="11" xfId="0" applyBorder="1" applyAlignment="1">
      <alignment horizontal="center"/>
    </xf>
    <xf numFmtId="0" fontId="6" fillId="0" borderId="11" xfId="0" applyFont="1" applyBorder="1" applyAlignment="1">
      <alignment horizontal="center"/>
    </xf>
    <xf numFmtId="3" fontId="6" fillId="0" borderId="11" xfId="0" applyNumberFormat="1" applyFont="1" applyBorder="1"/>
    <xf numFmtId="0" fontId="6" fillId="0" borderId="0" xfId="0" applyFont="1" applyBorder="1" applyAlignment="1"/>
    <xf numFmtId="167" fontId="0" fillId="0" borderId="19" xfId="0" applyNumberFormat="1" applyBorder="1"/>
    <xf numFmtId="167" fontId="6" fillId="0" borderId="19" xfId="0" applyNumberFormat="1" applyFont="1" applyBorder="1"/>
    <xf numFmtId="0" fontId="6" fillId="0" borderId="30" xfId="0" applyFont="1" applyBorder="1" applyAlignment="1">
      <alignment horizontal="center"/>
    </xf>
    <xf numFmtId="0" fontId="7" fillId="0" borderId="0" xfId="0" applyFont="1"/>
    <xf numFmtId="0" fontId="0" fillId="0" borderId="19" xfId="0" applyBorder="1"/>
    <xf numFmtId="0" fontId="41" fillId="0" borderId="19" xfId="0" applyFont="1" applyBorder="1" applyAlignment="1">
      <alignment horizontal="center" vertical="center" wrapText="1"/>
    </xf>
    <xf numFmtId="165" fontId="0" fillId="0" borderId="11" xfId="28" applyNumberFormat="1" applyFont="1" applyBorder="1"/>
    <xf numFmtId="9" fontId="0" fillId="0" borderId="11" xfId="43" applyFont="1" applyBorder="1"/>
    <xf numFmtId="0" fontId="0" fillId="0" borderId="11" xfId="0" applyBorder="1" applyAlignment="1">
      <alignment horizontal="right"/>
    </xf>
    <xf numFmtId="3" fontId="0" fillId="0" borderId="0" xfId="0" applyNumberFormat="1" applyFill="1" applyBorder="1" applyAlignment="1">
      <alignment horizontal="left" wrapText="1"/>
    </xf>
    <xf numFmtId="167" fontId="6" fillId="0" borderId="0" xfId="43" applyNumberFormat="1" applyFont="1" applyBorder="1" applyAlignment="1">
      <alignment horizontal="center"/>
    </xf>
    <xf numFmtId="0" fontId="6" fillId="0" borderId="35" xfId="0" applyFont="1" applyBorder="1" applyAlignment="1">
      <alignment horizontal="center"/>
    </xf>
    <xf numFmtId="166" fontId="6" fillId="0" borderId="11" xfId="0" applyNumberFormat="1" applyFont="1" applyBorder="1"/>
    <xf numFmtId="0" fontId="9" fillId="0" borderId="0" xfId="35" applyFont="1" applyAlignment="1" applyProtection="1"/>
    <xf numFmtId="0" fontId="0" fillId="0" borderId="11" xfId="0" applyBorder="1" applyAlignment="1">
      <alignment wrapText="1"/>
    </xf>
    <xf numFmtId="0" fontId="6" fillId="0" borderId="36" xfId="0" applyFont="1" applyFill="1" applyBorder="1" applyAlignment="1">
      <alignment horizontal="center" vertical="center" wrapText="1"/>
    </xf>
    <xf numFmtId="0" fontId="6" fillId="0" borderId="19" xfId="0" applyFont="1" applyFill="1" applyBorder="1" applyAlignment="1">
      <alignment horizontal="center" vertical="center" wrapText="1"/>
    </xf>
    <xf numFmtId="3" fontId="0" fillId="0" borderId="37" xfId="0" applyNumberFormat="1" applyFill="1" applyBorder="1"/>
    <xf numFmtId="9" fontId="0" fillId="0" borderId="0" xfId="43" applyFont="1" applyBorder="1"/>
    <xf numFmtId="9" fontId="0" fillId="0" borderId="0" xfId="0" applyNumberFormat="1"/>
    <xf numFmtId="0" fontId="0" fillId="0" borderId="39" xfId="0" applyBorder="1"/>
    <xf numFmtId="0" fontId="0" fillId="0" borderId="40" xfId="0" applyBorder="1"/>
    <xf numFmtId="0" fontId="6" fillId="0" borderId="15" xfId="0" applyFont="1" applyBorder="1"/>
    <xf numFmtId="0" fontId="0" fillId="0" borderId="41" xfId="0" applyBorder="1"/>
    <xf numFmtId="1" fontId="0" fillId="0" borderId="0" xfId="0" quotePrefix="1" applyNumberFormat="1"/>
    <xf numFmtId="0" fontId="43" fillId="0" borderId="0" xfId="0" applyFont="1" applyAlignment="1">
      <alignment horizontal="center" vertical="center"/>
    </xf>
    <xf numFmtId="0" fontId="6" fillId="0" borderId="0" xfId="0" quotePrefix="1" applyFont="1"/>
    <xf numFmtId="167" fontId="0" fillId="0" borderId="0" xfId="0" applyNumberFormat="1" applyBorder="1"/>
    <xf numFmtId="167" fontId="0" fillId="0" borderId="43" xfId="0" applyNumberFormat="1" applyBorder="1"/>
    <xf numFmtId="167" fontId="6" fillId="0" borderId="44" xfId="0" applyNumberFormat="1" applyFont="1" applyBorder="1"/>
    <xf numFmtId="167" fontId="6" fillId="0" borderId="45" xfId="0" applyNumberFormat="1" applyFont="1" applyBorder="1"/>
    <xf numFmtId="0" fontId="0" fillId="0" borderId="13" xfId="0" applyBorder="1"/>
    <xf numFmtId="0" fontId="6" fillId="0" borderId="12" xfId="0" applyFont="1" applyBorder="1"/>
    <xf numFmtId="0" fontId="0" fillId="0" borderId="46" xfId="0" applyBorder="1" applyAlignment="1">
      <alignment horizontal="center"/>
    </xf>
    <xf numFmtId="0" fontId="0" fillId="0" borderId="47" xfId="0" applyBorder="1" applyAlignment="1">
      <alignment horizontal="center"/>
    </xf>
    <xf numFmtId="9" fontId="6" fillId="0" borderId="11" xfId="43" applyFont="1" applyBorder="1"/>
    <xf numFmtId="0" fontId="0" fillId="0" borderId="0" xfId="43" applyNumberFormat="1" applyFont="1"/>
    <xf numFmtId="3" fontId="0" fillId="0" borderId="19" xfId="0" applyNumberFormat="1" applyBorder="1"/>
    <xf numFmtId="3" fontId="6" fillId="0" borderId="19" xfId="0" applyNumberFormat="1" applyFont="1" applyBorder="1"/>
    <xf numFmtId="0" fontId="6" fillId="0" borderId="49" xfId="0" applyFont="1" applyBorder="1" applyAlignment="1">
      <alignment horizontal="center"/>
    </xf>
    <xf numFmtId="3" fontId="0" fillId="0" borderId="49" xfId="0" applyNumberFormat="1" applyBorder="1"/>
    <xf numFmtId="3" fontId="6" fillId="0" borderId="49" xfId="0" applyNumberFormat="1" applyFont="1" applyBorder="1"/>
    <xf numFmtId="9" fontId="0" fillId="0" borderId="19" xfId="43" applyFont="1" applyBorder="1"/>
    <xf numFmtId="9" fontId="6" fillId="0" borderId="19" xfId="43" applyFont="1" applyBorder="1"/>
    <xf numFmtId="0" fontId="0" fillId="0" borderId="0" xfId="0" quotePrefix="1" applyFill="1" applyAlignment="1">
      <alignment vertical="center" wrapText="1"/>
    </xf>
    <xf numFmtId="0" fontId="0" fillId="0" borderId="0" xfId="0" applyFill="1" applyAlignment="1">
      <alignment vertical="center" wrapText="1"/>
    </xf>
    <xf numFmtId="166" fontId="0" fillId="0" borderId="11" xfId="0" applyNumberFormat="1" applyFill="1" applyBorder="1"/>
    <xf numFmtId="166" fontId="0" fillId="0" borderId="0" xfId="0" applyNumberFormat="1"/>
    <xf numFmtId="0" fontId="0" fillId="0" borderId="0" xfId="0" applyAlignment="1">
      <alignment vertical="center" wrapText="1"/>
    </xf>
    <xf numFmtId="3" fontId="0" fillId="0" borderId="11" xfId="0" quotePrefix="1" applyNumberFormat="1" applyFill="1" applyBorder="1" applyAlignment="1">
      <alignment horizontal="center" vertical="center"/>
    </xf>
    <xf numFmtId="0" fontId="6" fillId="0" borderId="50" xfId="0" applyFont="1" applyBorder="1"/>
    <xf numFmtId="0" fontId="6" fillId="26" borderId="50" xfId="0" applyFont="1" applyFill="1" applyBorder="1"/>
    <xf numFmtId="9" fontId="6" fillId="0" borderId="50" xfId="43" applyFont="1" applyBorder="1"/>
    <xf numFmtId="3" fontId="6" fillId="0" borderId="50" xfId="0" applyNumberFormat="1" applyFont="1" applyFill="1" applyBorder="1" applyAlignment="1">
      <alignment horizontal="left" wrapText="1"/>
    </xf>
    <xf numFmtId="1" fontId="6" fillId="0" borderId="50" xfId="0" applyNumberFormat="1" applyFont="1" applyBorder="1"/>
    <xf numFmtId="0" fontId="0" fillId="0" borderId="0" xfId="0" quotePrefix="1" applyAlignment="1">
      <alignment vertical="center" wrapText="1"/>
    </xf>
    <xf numFmtId="9" fontId="6" fillId="0" borderId="51" xfId="43" applyFont="1" applyBorder="1"/>
    <xf numFmtId="0" fontId="6" fillId="0" borderId="51" xfId="0" applyFont="1" applyBorder="1"/>
    <xf numFmtId="9" fontId="6" fillId="0" borderId="51" xfId="43" applyFont="1" applyFill="1" applyBorder="1" applyAlignment="1">
      <alignment horizontal="center"/>
    </xf>
    <xf numFmtId="1" fontId="6" fillId="0" borderId="51" xfId="43" applyNumberFormat="1" applyFont="1" applyBorder="1"/>
    <xf numFmtId="0" fontId="6" fillId="0" borderId="19" xfId="0" applyFont="1" applyBorder="1" applyAlignment="1">
      <alignment horizontal="center" vertical="center" shrinkToFit="1"/>
    </xf>
    <xf numFmtId="167" fontId="6" fillId="0" borderId="18" xfId="43" applyNumberFormat="1" applyFont="1" applyBorder="1" applyAlignment="1">
      <alignment horizontal="center"/>
    </xf>
    <xf numFmtId="167" fontId="6" fillId="0" borderId="19" xfId="43" applyNumberFormat="1" applyFont="1" applyBorder="1" applyAlignment="1">
      <alignment horizontal="center"/>
    </xf>
    <xf numFmtId="164" fontId="6" fillId="25" borderId="37" xfId="43" applyNumberFormat="1" applyFont="1" applyFill="1" applyBorder="1" applyAlignment="1"/>
    <xf numFmtId="9" fontId="6" fillId="25" borderId="37" xfId="43" applyNumberFormat="1" applyFont="1" applyFill="1" applyBorder="1" applyAlignment="1"/>
    <xf numFmtId="0" fontId="6" fillId="0" borderId="0" xfId="0" applyFont="1" applyBorder="1"/>
    <xf numFmtId="9" fontId="6" fillId="0" borderId="0" xfId="43" applyFont="1" applyBorder="1"/>
    <xf numFmtId="0" fontId="6" fillId="0" borderId="0" xfId="0" applyFont="1" applyFill="1" applyBorder="1" applyAlignment="1">
      <alignment wrapText="1"/>
    </xf>
    <xf numFmtId="3" fontId="6" fillId="0" borderId="0" xfId="0" applyNumberFormat="1" applyFont="1" applyFill="1" applyBorder="1" applyAlignment="1">
      <alignment horizontal="left"/>
    </xf>
    <xf numFmtId="3" fontId="6" fillId="0" borderId="0" xfId="0" applyNumberFormat="1" applyFont="1" applyFill="1" applyBorder="1"/>
    <xf numFmtId="0" fontId="42" fillId="0" borderId="0" xfId="0" applyFont="1" applyAlignment="1">
      <alignment vertical="center" wrapText="1"/>
    </xf>
    <xf numFmtId="0" fontId="6" fillId="0" borderId="11" xfId="0" applyFont="1" applyBorder="1" applyAlignment="1">
      <alignment wrapText="1"/>
    </xf>
    <xf numFmtId="0" fontId="6" fillId="0" borderId="30" xfId="0" applyFont="1" applyBorder="1" applyAlignment="1">
      <alignment wrapText="1"/>
    </xf>
    <xf numFmtId="0" fontId="6" fillId="0" borderId="19" xfId="0" applyFont="1" applyBorder="1" applyAlignment="1">
      <alignment wrapText="1"/>
    </xf>
    <xf numFmtId="0" fontId="0" fillId="0" borderId="0" xfId="0" applyAlignment="1">
      <alignment wrapText="1"/>
    </xf>
    <xf numFmtId="167" fontId="6" fillId="0" borderId="0" xfId="0" applyNumberFormat="1" applyFont="1"/>
    <xf numFmtId="0" fontId="0" fillId="0" borderId="0" xfId="0" applyFill="1" applyBorder="1" applyAlignment="1">
      <alignment wrapText="1"/>
    </xf>
    <xf numFmtId="0" fontId="0" fillId="0" borderId="49" xfId="0" applyFill="1" applyBorder="1" applyAlignment="1">
      <alignment wrapText="1"/>
    </xf>
    <xf numFmtId="0" fontId="10" fillId="0" borderId="0" xfId="0" applyFont="1" applyBorder="1"/>
    <xf numFmtId="167" fontId="10" fillId="0" borderId="0" xfId="0" applyNumberFormat="1" applyFont="1" applyBorder="1"/>
    <xf numFmtId="3" fontId="10" fillId="0" borderId="11" xfId="0" applyNumberFormat="1" applyFont="1" applyBorder="1"/>
    <xf numFmtId="166" fontId="10" fillId="0" borderId="11" xfId="0" applyNumberFormat="1" applyFont="1" applyBorder="1"/>
    <xf numFmtId="167" fontId="6" fillId="0" borderId="0" xfId="43" applyNumberFormat="1" applyFont="1" applyBorder="1"/>
    <xf numFmtId="166" fontId="0" fillId="25" borderId="11" xfId="0" applyNumberFormat="1" applyFill="1" applyBorder="1"/>
    <xf numFmtId="166" fontId="0" fillId="24" borderId="11" xfId="0" applyNumberFormat="1" applyFill="1" applyBorder="1"/>
    <xf numFmtId="0" fontId="6" fillId="0" borderId="0" xfId="0" applyFont="1" applyFill="1" applyBorder="1"/>
    <xf numFmtId="1" fontId="0" fillId="0" borderId="0" xfId="0" applyNumberFormat="1"/>
    <xf numFmtId="0" fontId="6" fillId="27" borderId="0" xfId="0" applyFont="1" applyFill="1"/>
    <xf numFmtId="0" fontId="6" fillId="0" borderId="52" xfId="0" applyFont="1" applyBorder="1"/>
    <xf numFmtId="0" fontId="7" fillId="0" borderId="0" xfId="0" applyFont="1" applyFill="1" applyBorder="1" applyAlignment="1">
      <alignment vertical="center" wrapText="1"/>
    </xf>
    <xf numFmtId="0" fontId="6" fillId="0" borderId="53" xfId="0" applyFont="1" applyBorder="1" applyAlignment="1">
      <alignment horizontal="center"/>
    </xf>
    <xf numFmtId="0" fontId="26" fillId="0" borderId="47" xfId="0" applyFont="1" applyBorder="1" applyAlignment="1">
      <alignment horizontal="left" wrapText="1"/>
    </xf>
    <xf numFmtId="0" fontId="0" fillId="0" borderId="47" xfId="0" applyBorder="1" applyAlignment="1">
      <alignment horizontal="left" wrapText="1"/>
    </xf>
    <xf numFmtId="1" fontId="6" fillId="0" borderId="51" xfId="0" applyNumberFormat="1" applyFont="1" applyBorder="1"/>
    <xf numFmtId="0" fontId="6" fillId="0" borderId="50" xfId="0" applyFont="1" applyFill="1" applyBorder="1"/>
    <xf numFmtId="167" fontId="0" fillId="0" borderId="0" xfId="0" applyNumberFormat="1" applyAlignment="1">
      <alignment wrapText="1"/>
    </xf>
    <xf numFmtId="0" fontId="10" fillId="0" borderId="0" xfId="0" quotePrefix="1" applyFont="1" applyFill="1"/>
    <xf numFmtId="0" fontId="6" fillId="0" borderId="51" xfId="0" applyFont="1" applyFill="1" applyBorder="1"/>
    <xf numFmtId="0" fontId="9" fillId="0" borderId="0" xfId="0" quotePrefix="1" applyFont="1"/>
    <xf numFmtId="0" fontId="40" fillId="0" borderId="54" xfId="0" applyFont="1" applyFill="1" applyBorder="1" applyAlignment="1">
      <alignment vertical="center" wrapText="1"/>
    </xf>
    <xf numFmtId="0" fontId="40" fillId="0" borderId="0" xfId="0" applyFont="1" applyFill="1" applyBorder="1" applyAlignment="1">
      <alignment vertical="center" wrapText="1"/>
    </xf>
    <xf numFmtId="9" fontId="0" fillId="0" borderId="53" xfId="43" applyFont="1" applyBorder="1"/>
    <xf numFmtId="0" fontId="10" fillId="0" borderId="55" xfId="0" applyFont="1" applyBorder="1" applyAlignment="1">
      <alignment horizontal="center" wrapText="1"/>
    </xf>
    <xf numFmtId="0" fontId="10" fillId="0" borderId="56" xfId="0" applyFont="1" applyBorder="1" applyAlignment="1">
      <alignment horizontal="center" wrapText="1"/>
    </xf>
    <xf numFmtId="0" fontId="10" fillId="0" borderId="57" xfId="0" applyFont="1" applyBorder="1" applyAlignment="1">
      <alignment horizontal="center" wrapText="1"/>
    </xf>
    <xf numFmtId="0" fontId="10" fillId="0" borderId="58" xfId="0" applyFont="1" applyBorder="1" applyAlignment="1">
      <alignment horizontal="center" wrapText="1"/>
    </xf>
    <xf numFmtId="0" fontId="10" fillId="0" borderId="59" xfId="0" applyFont="1" applyBorder="1" applyAlignment="1">
      <alignment horizontal="center" wrapText="1"/>
    </xf>
    <xf numFmtId="9" fontId="10" fillId="0" borderId="42" xfId="0" applyNumberFormat="1" applyFont="1" applyFill="1" applyBorder="1" applyAlignment="1">
      <alignment horizontal="center"/>
    </xf>
    <xf numFmtId="9" fontId="10" fillId="0" borderId="26" xfId="0" applyNumberFormat="1" applyFont="1" applyFill="1" applyBorder="1" applyAlignment="1">
      <alignment horizontal="center"/>
    </xf>
    <xf numFmtId="9" fontId="10" fillId="0" borderId="60" xfId="0" applyNumberFormat="1" applyFont="1" applyFill="1" applyBorder="1" applyAlignment="1">
      <alignment horizontal="center"/>
    </xf>
    <xf numFmtId="9" fontId="10" fillId="0" borderId="61" xfId="0" applyNumberFormat="1" applyFont="1" applyFill="1" applyBorder="1" applyAlignment="1">
      <alignment horizontal="center"/>
    </xf>
    <xf numFmtId="9" fontId="10" fillId="0" borderId="27" xfId="0" applyNumberFormat="1" applyFont="1" applyFill="1" applyBorder="1" applyAlignment="1">
      <alignment horizontal="center"/>
    </xf>
    <xf numFmtId="9" fontId="10" fillId="0" borderId="62" xfId="0" applyNumberFormat="1" applyFont="1" applyFill="1" applyBorder="1" applyAlignment="1">
      <alignment horizontal="center"/>
    </xf>
    <xf numFmtId="9" fontId="10" fillId="0" borderId="63" xfId="0" applyNumberFormat="1" applyFont="1" applyFill="1" applyBorder="1" applyAlignment="1">
      <alignment horizontal="center"/>
    </xf>
    <xf numFmtId="9" fontId="10" fillId="0" borderId="10" xfId="0" applyNumberFormat="1" applyFont="1" applyFill="1" applyBorder="1" applyAlignment="1">
      <alignment horizontal="center"/>
    </xf>
    <xf numFmtId="9" fontId="10" fillId="0" borderId="64" xfId="0" applyNumberFormat="1" applyFont="1" applyFill="1" applyBorder="1" applyAlignment="1">
      <alignment horizontal="center"/>
    </xf>
    <xf numFmtId="9" fontId="10" fillId="0" borderId="65" xfId="0" applyNumberFormat="1" applyFont="1" applyFill="1" applyBorder="1" applyAlignment="1">
      <alignment horizontal="center"/>
    </xf>
    <xf numFmtId="9" fontId="37" fillId="0" borderId="66" xfId="0" applyNumberFormat="1" applyFont="1" applyBorder="1" applyAlignment="1">
      <alignment horizontal="center"/>
    </xf>
    <xf numFmtId="9" fontId="37" fillId="0" borderId="56" xfId="0" applyNumberFormat="1" applyFont="1" applyFill="1" applyBorder="1" applyAlignment="1">
      <alignment horizontal="center"/>
    </xf>
    <xf numFmtId="9" fontId="37" fillId="0" borderId="57" xfId="0" applyNumberFormat="1" applyFont="1" applyFill="1" applyBorder="1" applyAlignment="1">
      <alignment horizontal="center"/>
    </xf>
    <xf numFmtId="9" fontId="37" fillId="0" borderId="58" xfId="0" applyNumberFormat="1" applyFont="1" applyFill="1" applyBorder="1" applyAlignment="1">
      <alignment horizontal="center"/>
    </xf>
    <xf numFmtId="9" fontId="37" fillId="0" borderId="59" xfId="0" applyNumberFormat="1" applyFont="1" applyFill="1" applyBorder="1" applyAlignment="1">
      <alignment horizontal="center"/>
    </xf>
    <xf numFmtId="9" fontId="4" fillId="0" borderId="11" xfId="43" applyFill="1" applyBorder="1"/>
    <xf numFmtId="9" fontId="4" fillId="0" borderId="0" xfId="43" applyFill="1" applyBorder="1" applyAlignment="1">
      <alignment horizontal="center"/>
    </xf>
    <xf numFmtId="9" fontId="4" fillId="0" borderId="11" xfId="43" applyBorder="1"/>
    <xf numFmtId="164" fontId="4" fillId="0" borderId="18" xfId="43" applyNumberFormat="1" applyBorder="1"/>
    <xf numFmtId="164" fontId="4" fillId="0" borderId="37" xfId="43" applyNumberFormat="1" applyBorder="1"/>
    <xf numFmtId="164" fontId="4" fillId="0" borderId="62" xfId="43" applyNumberFormat="1" applyBorder="1"/>
    <xf numFmtId="164" fontId="4" fillId="0" borderId="0" xfId="43" applyNumberFormat="1" applyBorder="1"/>
    <xf numFmtId="164" fontId="4" fillId="0" borderId="42" xfId="43" applyNumberFormat="1" applyBorder="1"/>
    <xf numFmtId="164" fontId="4" fillId="0" borderId="67" xfId="43" applyNumberFormat="1" applyBorder="1"/>
    <xf numFmtId="9" fontId="4" fillId="0" borderId="0" xfId="43"/>
    <xf numFmtId="165" fontId="4" fillId="0" borderId="11" xfId="28" applyNumberFormat="1" applyBorder="1"/>
    <xf numFmtId="165" fontId="4" fillId="0" borderId="0" xfId="28" applyNumberFormat="1"/>
    <xf numFmtId="2" fontId="0" fillId="0" borderId="0" xfId="0" applyNumberFormat="1"/>
    <xf numFmtId="0" fontId="0" fillId="0" borderId="0" xfId="0" applyFill="1" applyBorder="1" applyAlignment="1">
      <alignment horizontal="center"/>
    </xf>
    <xf numFmtId="1" fontId="0" fillId="0" borderId="0" xfId="0" applyNumberFormat="1" applyAlignment="1">
      <alignment horizontal="center"/>
    </xf>
    <xf numFmtId="3" fontId="0" fillId="0" borderId="36" xfId="0" applyNumberFormat="1" applyFill="1" applyBorder="1" applyAlignment="1">
      <alignment horizontal="left"/>
    </xf>
    <xf numFmtId="3" fontId="0" fillId="0" borderId="19" xfId="0" applyNumberFormat="1" applyFill="1" applyBorder="1" applyAlignment="1">
      <alignment horizontal="left"/>
    </xf>
    <xf numFmtId="0" fontId="0" fillId="0" borderId="11" xfId="0" applyBorder="1" applyAlignment="1">
      <alignment horizontal="left" wrapText="1"/>
    </xf>
    <xf numFmtId="0" fontId="0" fillId="0" borderId="30" xfId="0" applyBorder="1" applyAlignment="1">
      <alignment wrapText="1"/>
    </xf>
    <xf numFmtId="0" fontId="0" fillId="0" borderId="19" xfId="0" applyBorder="1" applyAlignment="1">
      <alignment wrapText="1"/>
    </xf>
    <xf numFmtId="0" fontId="6" fillId="0" borderId="0" xfId="0" applyFont="1" applyAlignment="1">
      <alignment horizontal="center" wrapText="1"/>
    </xf>
    <xf numFmtId="0" fontId="6" fillId="0" borderId="0" xfId="0" applyFont="1" applyAlignment="1">
      <alignment horizontal="left" wrapText="1"/>
    </xf>
    <xf numFmtId="0" fontId="44" fillId="0" borderId="26" xfId="0" applyFont="1" applyBorder="1" applyAlignment="1">
      <alignment horizontal="left"/>
    </xf>
    <xf numFmtId="0" fontId="44" fillId="0" borderId="26" xfId="0" applyFont="1" applyBorder="1" applyAlignment="1">
      <alignment horizontal="center" wrapText="1"/>
    </xf>
    <xf numFmtId="0" fontId="44" fillId="0" borderId="68" xfId="0" applyFont="1" applyBorder="1" applyAlignment="1">
      <alignment horizontal="left" vertical="top"/>
    </xf>
    <xf numFmtId="165" fontId="44" fillId="0" borderId="17" xfId="28" applyNumberFormat="1" applyFont="1" applyBorder="1" applyAlignment="1">
      <alignment horizontal="right" vertical="top"/>
    </xf>
    <xf numFmtId="0" fontId="44" fillId="0" borderId="63" xfId="0" applyFont="1" applyBorder="1" applyAlignment="1">
      <alignment horizontal="left" vertical="top"/>
    </xf>
    <xf numFmtId="165" fontId="44" fillId="0" borderId="10" xfId="28" applyNumberFormat="1" applyFont="1" applyBorder="1" applyAlignment="1">
      <alignment horizontal="right" vertical="top"/>
    </xf>
    <xf numFmtId="0" fontId="44" fillId="0" borderId="11" xfId="0" applyFont="1" applyBorder="1" applyAlignment="1">
      <alignment horizontal="left" vertical="top"/>
    </xf>
    <xf numFmtId="165" fontId="44" fillId="0" borderId="36" xfId="28" applyNumberFormat="1" applyFont="1" applyBorder="1" applyAlignment="1">
      <alignment horizontal="right" vertical="top"/>
    </xf>
    <xf numFmtId="0" fontId="48" fillId="0" borderId="63" xfId="0" applyFont="1" applyBorder="1" applyAlignment="1">
      <alignment horizontal="left" vertical="top"/>
    </xf>
    <xf numFmtId="165" fontId="48" fillId="0" borderId="10" xfId="28" applyNumberFormat="1" applyFont="1" applyBorder="1" applyAlignment="1">
      <alignment horizontal="right" vertical="top"/>
    </xf>
    <xf numFmtId="0" fontId="44" fillId="0" borderId="68" xfId="0" applyFont="1" applyBorder="1" applyAlignment="1">
      <alignment horizontal="center" wrapText="1"/>
    </xf>
    <xf numFmtId="0" fontId="44" fillId="0" borderId="17" xfId="0" applyFont="1" applyBorder="1" applyAlignment="1">
      <alignment horizontal="center" wrapText="1"/>
    </xf>
    <xf numFmtId="0" fontId="44" fillId="0" borderId="37" xfId="0" applyFont="1" applyBorder="1" applyAlignment="1">
      <alignment wrapText="1"/>
    </xf>
    <xf numFmtId="0" fontId="44" fillId="0" borderId="0" xfId="0" applyFont="1" applyBorder="1" applyAlignment="1">
      <alignment wrapText="1"/>
    </xf>
    <xf numFmtId="0" fontId="44" fillId="0" borderId="53" xfId="0" applyFont="1" applyBorder="1" applyAlignment="1">
      <alignment wrapText="1"/>
    </xf>
    <xf numFmtId="165" fontId="48" fillId="0" borderId="0" xfId="28" applyNumberFormat="1" applyFont="1" applyBorder="1" applyAlignment="1">
      <alignment horizontal="right" wrapText="1"/>
    </xf>
    <xf numFmtId="164" fontId="44" fillId="0" borderId="68" xfId="43" applyNumberFormat="1" applyFont="1" applyBorder="1"/>
    <xf numFmtId="0" fontId="10" fillId="0" borderId="0" xfId="0" applyFont="1" applyAlignment="1">
      <alignment horizontal="left"/>
    </xf>
    <xf numFmtId="0" fontId="10" fillId="0" borderId="0" xfId="0" applyFont="1" applyAlignment="1">
      <alignment horizontal="left" wrapText="1"/>
    </xf>
    <xf numFmtId="0" fontId="10" fillId="0" borderId="0" xfId="0" applyFont="1" applyAlignment="1">
      <alignment horizontal="center"/>
    </xf>
    <xf numFmtId="4" fontId="0" fillId="0" borderId="0" xfId="0" applyNumberFormat="1" applyAlignment="1">
      <alignment horizontal="center"/>
    </xf>
    <xf numFmtId="0" fontId="10" fillId="0" borderId="0" xfId="0" applyFont="1" applyAlignment="1">
      <alignment horizontal="right"/>
    </xf>
    <xf numFmtId="0" fontId="10" fillId="0" borderId="0" xfId="0" applyFont="1" applyAlignment="1"/>
    <xf numFmtId="0" fontId="10" fillId="0" borderId="0" xfId="0" applyFont="1" applyBorder="1" applyAlignment="1"/>
    <xf numFmtId="0" fontId="10" fillId="0" borderId="0" xfId="0" applyFont="1" applyBorder="1" applyAlignment="1">
      <alignment horizontal="right"/>
    </xf>
    <xf numFmtId="4" fontId="0" fillId="0" borderId="67" xfId="0" applyNumberFormat="1" applyBorder="1" applyAlignment="1">
      <alignment horizontal="center"/>
    </xf>
    <xf numFmtId="0" fontId="10" fillId="0" borderId="67" xfId="0" applyFont="1" applyBorder="1" applyAlignment="1">
      <alignment horizontal="right"/>
    </xf>
    <xf numFmtId="0" fontId="10" fillId="0" borderId="67" xfId="0" applyFont="1" applyBorder="1" applyAlignment="1"/>
    <xf numFmtId="0" fontId="10" fillId="0" borderId="0" xfId="0" applyFont="1" applyBorder="1" applyAlignment="1">
      <alignment horizontal="left"/>
    </xf>
    <xf numFmtId="4" fontId="0" fillId="0" borderId="69" xfId="0" applyNumberFormat="1" applyBorder="1" applyAlignment="1">
      <alignment horizontal="center"/>
    </xf>
    <xf numFmtId="0" fontId="10" fillId="0" borderId="69" xfId="0" applyFont="1" applyBorder="1" applyAlignment="1">
      <alignment horizontal="right"/>
    </xf>
    <xf numFmtId="0" fontId="10" fillId="0" borderId="69" xfId="0" applyFont="1" applyBorder="1" applyAlignment="1">
      <alignment horizontal="left"/>
    </xf>
    <xf numFmtId="4" fontId="0" fillId="0" borderId="0" xfId="0" applyNumberFormat="1" applyFill="1" applyAlignment="1">
      <alignment horizontal="center"/>
    </xf>
    <xf numFmtId="0" fontId="10" fillId="0" borderId="0" xfId="0" applyFont="1" applyAlignment="1">
      <alignment horizontal="right" wrapText="1"/>
    </xf>
    <xf numFmtId="3" fontId="4" fillId="24" borderId="11" xfId="0" applyNumberFormat="1" applyFont="1" applyFill="1" applyBorder="1"/>
    <xf numFmtId="168" fontId="0" fillId="0" borderId="0" xfId="0" applyNumberFormat="1"/>
    <xf numFmtId="168" fontId="0" fillId="0" borderId="0" xfId="0" applyNumberFormat="1" applyAlignment="1">
      <alignment horizontal="center"/>
    </xf>
    <xf numFmtId="168" fontId="0" fillId="0" borderId="0" xfId="0" applyNumberFormat="1" applyBorder="1" applyAlignment="1">
      <alignment horizontal="center"/>
    </xf>
    <xf numFmtId="0" fontId="50" fillId="0" borderId="0" xfId="0" applyFont="1"/>
    <xf numFmtId="0" fontId="50" fillId="0" borderId="0" xfId="0" applyFont="1" applyBorder="1"/>
    <xf numFmtId="0" fontId="51" fillId="0" borderId="51" xfId="0" applyFont="1" applyBorder="1"/>
    <xf numFmtId="0" fontId="51" fillId="0" borderId="0" xfId="0" applyFont="1" applyAlignment="1">
      <alignment horizontal="left"/>
    </xf>
    <xf numFmtId="0" fontId="51" fillId="0" borderId="0" xfId="0" applyFont="1" applyBorder="1"/>
    <xf numFmtId="0" fontId="52" fillId="0" borderId="0" xfId="0" applyFont="1" applyBorder="1" applyAlignment="1">
      <alignment horizontal="center" vertical="center" wrapText="1"/>
    </xf>
    <xf numFmtId="0" fontId="53" fillId="0" borderId="0" xfId="0" applyFont="1" applyBorder="1" applyAlignment="1">
      <alignment horizontal="center" vertical="center"/>
    </xf>
    <xf numFmtId="0" fontId="50" fillId="0" borderId="0" xfId="0" applyFont="1" applyBorder="1" applyAlignment="1">
      <alignment horizontal="left" wrapText="1"/>
    </xf>
    <xf numFmtId="0" fontId="51" fillId="26" borderId="51" xfId="0" applyFont="1" applyFill="1" applyBorder="1"/>
    <xf numFmtId="0" fontId="54" fillId="0" borderId="0" xfId="0" applyFont="1"/>
    <xf numFmtId="0" fontId="50" fillId="0" borderId="0" xfId="0" applyFont="1" applyFill="1"/>
    <xf numFmtId="0" fontId="51" fillId="0" borderId="11" xfId="0" applyFont="1" applyFill="1" applyBorder="1" applyAlignment="1">
      <alignment horizontal="center" wrapText="1"/>
    </xf>
    <xf numFmtId="3" fontId="50" fillId="0" borderId="11" xfId="0" applyNumberFormat="1" applyFont="1" applyFill="1" applyBorder="1" applyAlignment="1">
      <alignment vertical="center"/>
    </xf>
    <xf numFmtId="9" fontId="51" fillId="0" borderId="51" xfId="43" applyFont="1" applyBorder="1"/>
    <xf numFmtId="3" fontId="50" fillId="0" borderId="11" xfId="0" applyNumberFormat="1" applyFont="1" applyFill="1" applyBorder="1" applyAlignment="1">
      <alignment horizontal="center" vertical="center"/>
    </xf>
    <xf numFmtId="9" fontId="50" fillId="0" borderId="11" xfId="43" applyFont="1" applyFill="1" applyBorder="1"/>
    <xf numFmtId="3" fontId="50" fillId="0" borderId="11" xfId="0" applyNumberFormat="1" applyFont="1" applyFill="1" applyBorder="1"/>
    <xf numFmtId="3" fontId="50" fillId="0" borderId="11" xfId="0" quotePrefix="1"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9" fontId="50" fillId="0" borderId="0" xfId="43" applyFont="1" applyFill="1" applyBorder="1" applyAlignment="1">
      <alignment horizontal="center" vertical="center"/>
    </xf>
    <xf numFmtId="0" fontId="50" fillId="0" borderId="0" xfId="0" applyFont="1" applyBorder="1" applyAlignment="1">
      <alignment vertical="center"/>
    </xf>
    <xf numFmtId="3" fontId="50" fillId="0" borderId="0" xfId="0" applyNumberFormat="1" applyFont="1" applyFill="1" applyBorder="1" applyAlignment="1">
      <alignment horizontal="center"/>
    </xf>
    <xf numFmtId="9" fontId="50" fillId="0" borderId="0" xfId="43" applyFont="1" applyFill="1" applyBorder="1" applyAlignment="1">
      <alignment horizontal="center"/>
    </xf>
    <xf numFmtId="0" fontId="50" fillId="0" borderId="0" xfId="0" applyFont="1" applyFill="1" applyBorder="1"/>
    <xf numFmtId="3" fontId="50" fillId="0" borderId="0" xfId="0" applyNumberFormat="1" applyFont="1" applyFill="1" applyBorder="1" applyAlignment="1">
      <alignment horizontal="left" wrapText="1"/>
    </xf>
    <xf numFmtId="3" fontId="51" fillId="0" borderId="51" xfId="0" applyNumberFormat="1" applyFont="1" applyFill="1" applyBorder="1" applyAlignment="1">
      <alignment horizontal="left" wrapText="1"/>
    </xf>
    <xf numFmtId="1" fontId="51" fillId="0" borderId="51" xfId="43" applyNumberFormat="1" applyFont="1" applyBorder="1"/>
    <xf numFmtId="0" fontId="55" fillId="0" borderId="0" xfId="0" applyFont="1" applyBorder="1" applyAlignment="1">
      <alignment horizontal="left" vertical="center" wrapText="1"/>
    </xf>
    <xf numFmtId="0" fontId="50" fillId="0" borderId="0" xfId="0" applyFont="1" applyAlignment="1">
      <alignment horizontal="left" wrapText="1"/>
    </xf>
    <xf numFmtId="9" fontId="51" fillId="0" borderId="51" xfId="43" applyFont="1" applyFill="1" applyBorder="1" applyAlignment="1">
      <alignment horizontal="center"/>
    </xf>
    <xf numFmtId="3" fontId="51" fillId="0" borderId="11" xfId="0" applyNumberFormat="1" applyFont="1" applyFill="1" applyBorder="1"/>
    <xf numFmtId="3" fontId="50" fillId="0" borderId="36" xfId="0" applyNumberFormat="1" applyFont="1" applyFill="1" applyBorder="1" applyAlignment="1">
      <alignment horizontal="left"/>
    </xf>
    <xf numFmtId="3" fontId="50" fillId="0" borderId="19" xfId="0" applyNumberFormat="1" applyFont="1" applyFill="1" applyBorder="1" applyAlignment="1">
      <alignment horizontal="left"/>
    </xf>
    <xf numFmtId="3" fontId="50" fillId="0" borderId="0" xfId="0" applyNumberFormat="1" applyFont="1" applyFill="1" applyBorder="1" applyAlignment="1">
      <alignment horizontal="left"/>
    </xf>
    <xf numFmtId="3" fontId="50" fillId="0" borderId="0" xfId="0" applyNumberFormat="1" applyFont="1" applyFill="1" applyBorder="1"/>
    <xf numFmtId="0" fontId="50" fillId="0" borderId="0" xfId="0" applyFont="1" applyBorder="1" applyAlignment="1">
      <alignment horizontal="left" vertical="center" wrapText="1"/>
    </xf>
    <xf numFmtId="1" fontId="51" fillId="0" borderId="51" xfId="0" applyNumberFormat="1" applyFont="1" applyBorder="1"/>
    <xf numFmtId="0" fontId="51" fillId="0" borderId="0" xfId="0" applyFont="1" applyFill="1" applyBorder="1" applyAlignment="1">
      <alignment horizontal="center" wrapText="1"/>
    </xf>
    <xf numFmtId="0" fontId="51" fillId="0" borderId="36" xfId="0" applyFont="1" applyFill="1" applyBorder="1" applyAlignment="1">
      <alignment horizontal="center" vertical="center" wrapText="1"/>
    </xf>
    <xf numFmtId="0" fontId="51" fillId="0" borderId="19" xfId="0" applyFont="1" applyFill="1" applyBorder="1" applyAlignment="1">
      <alignment horizontal="center" vertical="center" wrapText="1"/>
    </xf>
    <xf numFmtId="0" fontId="51" fillId="0" borderId="11" xfId="0" applyFont="1" applyBorder="1" applyAlignment="1">
      <alignment horizontal="center" vertical="center" shrinkToFit="1"/>
    </xf>
    <xf numFmtId="0" fontId="51" fillId="0" borderId="53" xfId="0" applyFont="1" applyFill="1" applyBorder="1" applyAlignment="1">
      <alignment horizontal="center" vertical="center" wrapText="1"/>
    </xf>
    <xf numFmtId="0" fontId="51" fillId="0" borderId="19" xfId="0" applyFont="1" applyBorder="1" applyAlignment="1">
      <alignment horizontal="center" vertical="center" shrinkToFit="1"/>
    </xf>
    <xf numFmtId="0" fontId="51" fillId="0" borderId="0" xfId="0" applyFont="1" applyBorder="1" applyAlignment="1">
      <alignment horizontal="center" vertical="center" shrinkToFit="1"/>
    </xf>
    <xf numFmtId="0" fontId="51" fillId="0" borderId="17" xfId="0" applyFont="1" applyBorder="1"/>
    <xf numFmtId="0" fontId="50" fillId="0" borderId="18" xfId="0" applyFont="1" applyBorder="1"/>
    <xf numFmtId="164" fontId="50" fillId="0" borderId="17" xfId="43" applyNumberFormat="1" applyFont="1" applyBorder="1"/>
    <xf numFmtId="164" fontId="50" fillId="0" borderId="18" xfId="43" applyNumberFormat="1" applyFont="1" applyBorder="1"/>
    <xf numFmtId="167" fontId="51" fillId="0" borderId="68" xfId="43" applyNumberFormat="1" applyFont="1" applyBorder="1" applyAlignment="1">
      <alignment horizontal="center"/>
    </xf>
    <xf numFmtId="164" fontId="50" fillId="0" borderId="37" xfId="43" applyNumberFormat="1" applyFont="1" applyBorder="1"/>
    <xf numFmtId="167" fontId="51" fillId="0" borderId="18" xfId="43" applyNumberFormat="1" applyFont="1" applyBorder="1" applyAlignment="1">
      <alignment horizontal="center"/>
    </xf>
    <xf numFmtId="167" fontId="51" fillId="0" borderId="0" xfId="43" applyNumberFormat="1" applyFont="1" applyBorder="1" applyAlignment="1">
      <alignment horizontal="center"/>
    </xf>
    <xf numFmtId="164" fontId="50" fillId="0" borderId="10" xfId="43" applyNumberFormat="1" applyFont="1" applyBorder="1"/>
    <xf numFmtId="164" fontId="50" fillId="0" borderId="62" xfId="43" applyNumberFormat="1" applyFont="1" applyBorder="1"/>
    <xf numFmtId="164" fontId="50" fillId="0" borderId="0" xfId="43" applyNumberFormat="1" applyFont="1" applyBorder="1"/>
    <xf numFmtId="164" fontId="50" fillId="0" borderId="60" xfId="43" applyNumberFormat="1" applyFont="1" applyBorder="1"/>
    <xf numFmtId="164" fontId="50" fillId="0" borderId="42" xfId="43" applyNumberFormat="1" applyFont="1" applyBorder="1"/>
    <xf numFmtId="167" fontId="51" fillId="0" borderId="11" xfId="43" applyNumberFormat="1" applyFont="1" applyBorder="1" applyAlignment="1">
      <alignment horizontal="center"/>
    </xf>
    <xf numFmtId="164" fontId="50" fillId="0" borderId="67" xfId="43" applyNumberFormat="1" applyFont="1" applyBorder="1"/>
    <xf numFmtId="167" fontId="51" fillId="0" borderId="19" xfId="43" applyNumberFormat="1" applyFont="1" applyBorder="1" applyAlignment="1">
      <alignment horizontal="center"/>
    </xf>
    <xf numFmtId="167" fontId="51" fillId="0" borderId="37" xfId="43" applyNumberFormat="1" applyFont="1" applyBorder="1" applyAlignment="1">
      <alignment horizontal="center"/>
    </xf>
    <xf numFmtId="3" fontId="51" fillId="0" borderId="0" xfId="0" applyNumberFormat="1" applyFont="1" applyFill="1" applyBorder="1" applyAlignment="1">
      <alignment horizontal="left"/>
    </xf>
    <xf numFmtId="0" fontId="50" fillId="0" borderId="0" xfId="0" quotePrefix="1" applyFont="1"/>
    <xf numFmtId="0" fontId="50" fillId="0" borderId="0" xfId="0" quotePrefix="1" applyFont="1" applyAlignment="1">
      <alignment vertical="center" wrapText="1"/>
    </xf>
    <xf numFmtId="0" fontId="50" fillId="0" borderId="0" xfId="0" applyFont="1" applyAlignment="1">
      <alignment vertical="center" wrapText="1"/>
    </xf>
    <xf numFmtId="0" fontId="53" fillId="0" borderId="0" xfId="0" applyFont="1" applyAlignment="1">
      <alignment horizontal="center" vertical="center"/>
    </xf>
    <xf numFmtId="0" fontId="50" fillId="0" borderId="0" xfId="0" applyFont="1" applyAlignment="1">
      <alignment horizontal="left" vertical="center" wrapText="1"/>
    </xf>
    <xf numFmtId="0" fontId="49" fillId="0" borderId="0" xfId="0" applyFont="1"/>
    <xf numFmtId="0" fontId="49" fillId="0" borderId="0" xfId="0" applyFont="1" applyBorder="1" applyAlignment="1">
      <alignment horizontal="left" wrapText="1"/>
    </xf>
    <xf numFmtId="0" fontId="57" fillId="0" borderId="0" xfId="0" applyFont="1" applyAlignment="1">
      <alignment vertical="center" wrapText="1"/>
    </xf>
    <xf numFmtId="0" fontId="56" fillId="0" borderId="0" xfId="0" applyFont="1" applyAlignment="1">
      <alignment vertical="center" wrapText="1"/>
    </xf>
    <xf numFmtId="0" fontId="50" fillId="0" borderId="47" xfId="0" applyFont="1" applyBorder="1" applyAlignment="1">
      <alignment horizontal="left" wrapText="1"/>
    </xf>
    <xf numFmtId="0" fontId="50" fillId="0" borderId="55" xfId="0" applyFont="1" applyBorder="1" applyAlignment="1">
      <alignment horizontal="center" wrapText="1"/>
    </xf>
    <xf numFmtId="0" fontId="50" fillId="0" borderId="56" xfId="0" applyFont="1" applyBorder="1" applyAlignment="1">
      <alignment horizontal="center" wrapText="1"/>
    </xf>
    <xf numFmtId="0" fontId="50" fillId="0" borderId="57" xfId="0" applyFont="1" applyBorder="1" applyAlignment="1">
      <alignment horizontal="center" wrapText="1"/>
    </xf>
    <xf numFmtId="0" fontId="50" fillId="0" borderId="58" xfId="0" applyFont="1" applyBorder="1" applyAlignment="1">
      <alignment horizontal="center" wrapText="1"/>
    </xf>
    <xf numFmtId="0" fontId="50" fillId="0" borderId="59" xfId="0" applyFont="1" applyBorder="1" applyAlignment="1">
      <alignment horizontal="center" wrapText="1"/>
    </xf>
    <xf numFmtId="0" fontId="50" fillId="0" borderId="0" xfId="0" applyFont="1" applyBorder="1" applyAlignment="1">
      <alignment horizontal="center" wrapText="1"/>
    </xf>
    <xf numFmtId="9" fontId="50" fillId="0" borderId="42" xfId="0" applyNumberFormat="1" applyFont="1" applyFill="1" applyBorder="1" applyAlignment="1">
      <alignment horizontal="center"/>
    </xf>
    <xf numFmtId="9" fontId="50" fillId="0" borderId="26" xfId="0" applyNumberFormat="1" applyFont="1" applyFill="1" applyBorder="1" applyAlignment="1">
      <alignment horizontal="center"/>
    </xf>
    <xf numFmtId="9" fontId="50" fillId="0" borderId="60" xfId="0" applyNumberFormat="1" applyFont="1" applyFill="1" applyBorder="1" applyAlignment="1">
      <alignment horizontal="center"/>
    </xf>
    <xf numFmtId="9" fontId="50" fillId="0" borderId="61" xfId="0" applyNumberFormat="1" applyFont="1" applyFill="1" applyBorder="1" applyAlignment="1">
      <alignment horizontal="center"/>
    </xf>
    <xf numFmtId="9" fontId="50" fillId="0" borderId="27" xfId="0" applyNumberFormat="1" applyFont="1" applyFill="1" applyBorder="1" applyAlignment="1">
      <alignment horizontal="center"/>
    </xf>
    <xf numFmtId="9" fontId="50" fillId="0" borderId="0" xfId="0" applyNumberFormat="1" applyFont="1" applyFill="1" applyBorder="1" applyAlignment="1">
      <alignment horizontal="center"/>
    </xf>
    <xf numFmtId="9" fontId="50" fillId="0" borderId="62" xfId="0" applyNumberFormat="1" applyFont="1" applyFill="1" applyBorder="1" applyAlignment="1">
      <alignment horizontal="center"/>
    </xf>
    <xf numFmtId="9" fontId="50" fillId="0" borderId="63" xfId="0" applyNumberFormat="1" applyFont="1" applyFill="1" applyBorder="1" applyAlignment="1">
      <alignment horizontal="center"/>
    </xf>
    <xf numFmtId="9" fontId="50" fillId="0" borderId="10" xfId="0" applyNumberFormat="1" applyFont="1" applyFill="1" applyBorder="1" applyAlignment="1">
      <alignment horizontal="center"/>
    </xf>
    <xf numFmtId="9" fontId="50" fillId="0" borderId="64" xfId="0" applyNumberFormat="1" applyFont="1" applyFill="1" applyBorder="1" applyAlignment="1">
      <alignment horizontal="center"/>
    </xf>
    <xf numFmtId="9" fontId="50" fillId="0" borderId="65" xfId="0" applyNumberFormat="1" applyFont="1" applyFill="1" applyBorder="1" applyAlignment="1">
      <alignment horizontal="center"/>
    </xf>
    <xf numFmtId="9" fontId="58" fillId="0" borderId="66" xfId="0" applyNumberFormat="1" applyFont="1" applyBorder="1" applyAlignment="1">
      <alignment horizontal="center"/>
    </xf>
    <xf numFmtId="9" fontId="58" fillId="0" borderId="56" xfId="0" applyNumberFormat="1" applyFont="1" applyFill="1" applyBorder="1" applyAlignment="1">
      <alignment horizontal="center"/>
    </xf>
    <xf numFmtId="9" fontId="58" fillId="0" borderId="57" xfId="0" applyNumberFormat="1" applyFont="1" applyFill="1" applyBorder="1" applyAlignment="1">
      <alignment horizontal="center"/>
    </xf>
    <xf numFmtId="9" fontId="58" fillId="0" borderId="58" xfId="0" applyNumberFormat="1" applyFont="1" applyFill="1" applyBorder="1" applyAlignment="1">
      <alignment horizontal="center"/>
    </xf>
    <xf numFmtId="9" fontId="58" fillId="0" borderId="59" xfId="0" applyNumberFormat="1" applyFont="1" applyFill="1" applyBorder="1" applyAlignment="1">
      <alignment horizontal="center"/>
    </xf>
    <xf numFmtId="9" fontId="58" fillId="0" borderId="0" xfId="0" applyNumberFormat="1" applyFont="1" applyFill="1" applyBorder="1" applyAlignment="1">
      <alignment horizontal="center"/>
    </xf>
    <xf numFmtId="0" fontId="59" fillId="0" borderId="0" xfId="0" applyFont="1" applyBorder="1" applyAlignment="1">
      <alignment horizontal="left" vertical="center" wrapText="1"/>
    </xf>
    <xf numFmtId="0" fontId="50" fillId="0" borderId="0" xfId="0" applyFont="1" applyFill="1" applyAlignment="1">
      <alignment vertical="center" wrapText="1"/>
    </xf>
    <xf numFmtId="0" fontId="54" fillId="0" borderId="0" xfId="0" quotePrefix="1" applyFont="1"/>
    <xf numFmtId="0" fontId="50" fillId="0" borderId="0" xfId="0" quotePrefix="1" applyFont="1" applyFill="1" applyAlignment="1">
      <alignment vertical="center" wrapText="1"/>
    </xf>
    <xf numFmtId="0" fontId="51" fillId="0" borderId="51" xfId="0" applyFont="1" applyFill="1" applyBorder="1"/>
    <xf numFmtId="0" fontId="54" fillId="0" borderId="0" xfId="0" applyFont="1" applyAlignment="1">
      <alignment horizontal="left" vertical="center" wrapText="1"/>
    </xf>
    <xf numFmtId="0" fontId="50" fillId="0" borderId="0" xfId="0" applyFont="1" applyFill="1" applyBorder="1" applyAlignment="1">
      <alignment vertical="center" wrapText="1"/>
    </xf>
    <xf numFmtId="0" fontId="50" fillId="0" borderId="0" xfId="0" applyFont="1" applyFill="1" applyBorder="1" applyAlignment="1">
      <alignment horizontal="left" vertical="top" wrapText="1"/>
    </xf>
    <xf numFmtId="0" fontId="53" fillId="0" borderId="0" xfId="0" applyFont="1" applyFill="1" applyAlignment="1">
      <alignment horizontal="center" vertical="center"/>
    </xf>
    <xf numFmtId="0" fontId="50" fillId="0" borderId="0" xfId="0" quotePrefix="1" applyFont="1" applyAlignment="1"/>
    <xf numFmtId="0" fontId="50" fillId="0" borderId="0" xfId="0" applyFont="1" applyAlignment="1">
      <alignment horizontal="left"/>
    </xf>
    <xf numFmtId="0" fontId="51" fillId="0" borderId="0" xfId="0" applyFont="1"/>
    <xf numFmtId="167" fontId="4" fillId="0" borderId="0" xfId="0" applyNumberFormat="1" applyFont="1"/>
    <xf numFmtId="0" fontId="6" fillId="0" borderId="36" xfId="0" applyFont="1" applyBorder="1" applyAlignment="1">
      <alignment horizontal="center"/>
    </xf>
    <xf numFmtId="9" fontId="6" fillId="0" borderId="53" xfId="43" applyFont="1" applyBorder="1"/>
    <xf numFmtId="0" fontId="6" fillId="0" borderId="53" xfId="0" applyFont="1" applyBorder="1" applyAlignment="1"/>
    <xf numFmtId="0" fontId="6" fillId="0" borderId="19" xfId="0" applyFont="1" applyBorder="1" applyAlignment="1"/>
    <xf numFmtId="0" fontId="6" fillId="0" borderId="36" xfId="0" applyFont="1" applyBorder="1" applyAlignment="1"/>
    <xf numFmtId="166" fontId="6" fillId="0" borderId="11" xfId="0" applyNumberFormat="1" applyFont="1" applyFill="1" applyBorder="1"/>
    <xf numFmtId="167" fontId="0" fillId="0" borderId="72" xfId="0" applyNumberFormat="1" applyBorder="1"/>
    <xf numFmtId="3" fontId="4" fillId="0" borderId="36" xfId="0" applyNumberFormat="1" applyFont="1" applyBorder="1"/>
    <xf numFmtId="3" fontId="4" fillId="0" borderId="25" xfId="0" applyNumberFormat="1" applyFont="1" applyBorder="1"/>
    <xf numFmtId="3" fontId="4" fillId="0" borderId="26" xfId="0" applyNumberFormat="1" applyFont="1" applyBorder="1"/>
    <xf numFmtId="3" fontId="4" fillId="0" borderId="27" xfId="0" applyNumberFormat="1" applyFont="1" applyBorder="1"/>
    <xf numFmtId="3" fontId="4" fillId="0" borderId="29" xfId="0" applyNumberFormat="1" applyFont="1" applyBorder="1"/>
    <xf numFmtId="3" fontId="4" fillId="0" borderId="11" xfId="0" applyNumberFormat="1" applyFont="1" applyBorder="1"/>
    <xf numFmtId="3" fontId="4" fillId="0" borderId="30" xfId="0" applyNumberFormat="1" applyFont="1" applyBorder="1"/>
    <xf numFmtId="3" fontId="41" fillId="0" borderId="32" xfId="0" applyNumberFormat="1" applyFont="1" applyBorder="1"/>
    <xf numFmtId="3" fontId="41" fillId="0" borderId="33" xfId="0" applyNumberFormat="1" applyFont="1" applyBorder="1"/>
    <xf numFmtId="3" fontId="41" fillId="0" borderId="34" xfId="0" applyNumberFormat="1" applyFont="1" applyBorder="1"/>
    <xf numFmtId="3" fontId="41" fillId="0" borderId="11" xfId="0" applyNumberFormat="1" applyFont="1" applyBorder="1"/>
    <xf numFmtId="1" fontId="4" fillId="0" borderId="0" xfId="0" applyNumberFormat="1" applyFont="1"/>
    <xf numFmtId="0" fontId="6" fillId="0" borderId="0" xfId="0" applyFont="1" applyAlignment="1">
      <alignment vertical="center"/>
    </xf>
    <xf numFmtId="167" fontId="4" fillId="0" borderId="11" xfId="0" applyNumberFormat="1" applyFont="1" applyBorder="1" applyAlignment="1">
      <alignment vertical="center"/>
    </xf>
    <xf numFmtId="9" fontId="4" fillId="0" borderId="0" xfId="0" applyNumberFormat="1" applyFont="1"/>
    <xf numFmtId="0" fontId="10" fillId="0" borderId="0" xfId="0" quotePrefix="1" applyFont="1" applyBorder="1"/>
    <xf numFmtId="3" fontId="0" fillId="0" borderId="63" xfId="0" applyNumberFormat="1" applyFill="1" applyBorder="1"/>
    <xf numFmtId="0" fontId="6" fillId="0" borderId="73" xfId="0" applyFont="1" applyBorder="1" applyAlignment="1">
      <alignment horizontal="center"/>
    </xf>
    <xf numFmtId="0" fontId="4" fillId="0" borderId="11" xfId="0" applyFont="1" applyBorder="1"/>
    <xf numFmtId="3" fontId="10" fillId="0" borderId="0" xfId="0" applyNumberFormat="1" applyFont="1" applyBorder="1"/>
    <xf numFmtId="9" fontId="10" fillId="0" borderId="0" xfId="43" applyFont="1"/>
    <xf numFmtId="3" fontId="4" fillId="0" borderId="0" xfId="0" applyNumberFormat="1" applyFont="1"/>
    <xf numFmtId="0" fontId="4" fillId="0" borderId="0" xfId="0" applyFont="1"/>
    <xf numFmtId="0" fontId="41" fillId="0" borderId="11" xfId="0" applyFont="1" applyBorder="1"/>
    <xf numFmtId="3" fontId="41" fillId="25" borderId="11" xfId="0" applyNumberFormat="1" applyFont="1" applyFill="1" applyBorder="1"/>
    <xf numFmtId="3" fontId="41" fillId="24" borderId="11" xfId="0" applyNumberFormat="1" applyFont="1" applyFill="1" applyBorder="1"/>
    <xf numFmtId="3" fontId="4" fillId="25" borderId="11" xfId="0" applyNumberFormat="1" applyFont="1" applyFill="1" applyBorder="1"/>
    <xf numFmtId="0" fontId="10" fillId="0" borderId="0" xfId="0" applyFont="1"/>
    <xf numFmtId="0" fontId="6" fillId="0" borderId="80" xfId="0" applyFont="1" applyFill="1" applyBorder="1" applyAlignment="1">
      <alignment horizontal="center"/>
    </xf>
    <xf numFmtId="0" fontId="6" fillId="0" borderId="45" xfId="0" applyFont="1" applyFill="1" applyBorder="1" applyAlignment="1">
      <alignment horizontal="center"/>
    </xf>
    <xf numFmtId="3" fontId="0" fillId="0" borderId="76" xfId="0" applyNumberFormat="1" applyBorder="1"/>
    <xf numFmtId="3" fontId="0" fillId="0" borderId="43" xfId="0" applyNumberFormat="1" applyBorder="1"/>
    <xf numFmtId="3" fontId="0" fillId="0" borderId="83" xfId="0" applyNumberFormat="1" applyBorder="1"/>
    <xf numFmtId="3" fontId="0" fillId="0" borderId="85" xfId="0" applyNumberFormat="1" applyBorder="1"/>
    <xf numFmtId="3" fontId="0" fillId="0" borderId="86" xfId="0" applyNumberFormat="1" applyBorder="1"/>
    <xf numFmtId="3" fontId="6" fillId="0" borderId="87" xfId="0" applyNumberFormat="1" applyFont="1" applyBorder="1"/>
    <xf numFmtId="0" fontId="6" fillId="0" borderId="56" xfId="0" applyFont="1" applyFill="1" applyBorder="1" applyAlignment="1">
      <alignment horizontal="center"/>
    </xf>
    <xf numFmtId="3" fontId="0" fillId="0" borderId="88" xfId="0" applyNumberFormat="1" applyBorder="1"/>
    <xf numFmtId="3" fontId="0" fillId="0" borderId="63" xfId="0" applyNumberFormat="1" applyBorder="1"/>
    <xf numFmtId="14" fontId="50" fillId="0" borderId="0" xfId="0" applyNumberFormat="1" applyFont="1"/>
    <xf numFmtId="166" fontId="10" fillId="0" borderId="37" xfId="0" applyNumberFormat="1" applyFont="1" applyBorder="1"/>
    <xf numFmtId="167" fontId="0" fillId="0" borderId="48" xfId="0" applyNumberFormat="1" applyBorder="1"/>
    <xf numFmtId="0" fontId="10" fillId="0" borderId="47" xfId="0" applyFont="1" applyBorder="1" applyAlignment="1">
      <alignment horizontal="center"/>
    </xf>
    <xf numFmtId="0" fontId="2" fillId="0" borderId="0" xfId="750"/>
    <xf numFmtId="0" fontId="2" fillId="0" borderId="0" xfId="750"/>
    <xf numFmtId="3" fontId="50" fillId="0" borderId="36" xfId="0" applyNumberFormat="1" applyFont="1" applyFill="1" applyBorder="1" applyAlignment="1">
      <alignment vertical="center"/>
    </xf>
    <xf numFmtId="166" fontId="6" fillId="25" borderId="11" xfId="0" applyNumberFormat="1" applyFont="1" applyFill="1" applyBorder="1"/>
    <xf numFmtId="166" fontId="6" fillId="24" borderId="11" xfId="0" applyNumberFormat="1" applyFont="1" applyFill="1" applyBorder="1"/>
    <xf numFmtId="0" fontId="0" fillId="0" borderId="0" xfId="0" applyAlignment="1"/>
    <xf numFmtId="0" fontId="54" fillId="0" borderId="0" xfId="0" applyFont="1" applyAlignment="1">
      <alignment horizontal="left" vertical="center" wrapText="1"/>
    </xf>
    <xf numFmtId="0" fontId="53" fillId="0" borderId="0" xfId="0" applyFont="1" applyAlignment="1">
      <alignment horizontal="center" vertical="center"/>
    </xf>
    <xf numFmtId="0" fontId="53" fillId="0" borderId="0" xfId="0" applyFont="1" applyFill="1" applyAlignment="1">
      <alignment horizontal="center" vertical="center"/>
    </xf>
    <xf numFmtId="0" fontId="50" fillId="0" borderId="0" xfId="0" applyFont="1" applyFill="1" applyBorder="1" applyAlignment="1">
      <alignment horizontal="left" vertical="top" wrapText="1"/>
    </xf>
    <xf numFmtId="0" fontId="50" fillId="0" borderId="0" xfId="0" applyFont="1" applyFill="1" applyBorder="1" applyAlignment="1">
      <alignment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0" borderId="0" xfId="0" quotePrefix="1" applyFont="1" applyFill="1" applyAlignment="1">
      <alignment horizontal="left" vertical="center" wrapText="1"/>
    </xf>
    <xf numFmtId="0" fontId="52" fillId="0" borderId="0" xfId="0" applyFont="1" applyBorder="1" applyAlignment="1">
      <alignment horizontal="center" vertical="center" wrapText="1"/>
    </xf>
    <xf numFmtId="0" fontId="53" fillId="0" borderId="0" xfId="0" applyFont="1" applyBorder="1" applyAlignment="1">
      <alignment horizontal="center" vertical="center"/>
    </xf>
    <xf numFmtId="0" fontId="50" fillId="0" borderId="0" xfId="0" applyFont="1" applyBorder="1" applyAlignment="1">
      <alignment horizontal="left" wrapText="1"/>
    </xf>
    <xf numFmtId="0" fontId="55" fillId="0" borderId="0" xfId="0" applyFont="1" applyBorder="1" applyAlignment="1">
      <alignment horizontal="left" vertical="center" wrapText="1"/>
    </xf>
    <xf numFmtId="3" fontId="50" fillId="0" borderId="0" xfId="0" applyNumberFormat="1" applyFont="1" applyFill="1" applyBorder="1" applyAlignment="1">
      <alignment horizontal="left" wrapText="1"/>
    </xf>
    <xf numFmtId="0" fontId="57" fillId="0" borderId="0" xfId="0" applyFont="1" applyAlignment="1">
      <alignment vertical="center" wrapText="1"/>
    </xf>
    <xf numFmtId="0" fontId="51" fillId="0" borderId="0" xfId="0" applyFont="1" applyAlignment="1">
      <alignment horizontal="left" vertical="center" wrapText="1"/>
    </xf>
    <xf numFmtId="0" fontId="50" fillId="0" borderId="0" xfId="0" applyFont="1" applyFill="1" applyAlignment="1">
      <alignment horizontal="left" vertical="center" wrapText="1"/>
    </xf>
    <xf numFmtId="0" fontId="56" fillId="0" borderId="0" xfId="0" applyFont="1" applyBorder="1" applyAlignment="1">
      <alignment horizontal="left" vertical="center" wrapText="1"/>
    </xf>
    <xf numFmtId="0" fontId="50" fillId="0" borderId="0" xfId="0" applyFont="1" applyBorder="1" applyAlignment="1">
      <alignment horizontal="left" vertical="center" wrapText="1"/>
    </xf>
    <xf numFmtId="0" fontId="56" fillId="0" borderId="0" xfId="0" applyFont="1" applyFill="1" applyAlignment="1">
      <alignment horizontal="left" vertical="center" wrapText="1"/>
    </xf>
    <xf numFmtId="0" fontId="50" fillId="0" borderId="0" xfId="0" quotePrefix="1" applyFont="1" applyAlignment="1">
      <alignment horizontal="left" vertical="center" wrapText="1"/>
    </xf>
    <xf numFmtId="0" fontId="59" fillId="0" borderId="0" xfId="0" applyFont="1" applyBorder="1" applyAlignment="1">
      <alignment horizontal="left" vertical="center" wrapText="1"/>
    </xf>
    <xf numFmtId="0" fontId="56" fillId="0" borderId="0" xfId="0" applyFont="1" applyAlignment="1">
      <alignment horizontal="left" vertical="center" wrapText="1"/>
    </xf>
    <xf numFmtId="0" fontId="49" fillId="0" borderId="0" xfId="0" applyFont="1" applyBorder="1" applyAlignment="1">
      <alignment horizontal="left" wrapText="1"/>
    </xf>
    <xf numFmtId="0" fontId="6" fillId="0" borderId="36" xfId="0" applyFont="1" applyBorder="1" applyAlignment="1">
      <alignment horizontal="center"/>
    </xf>
    <xf numFmtId="0" fontId="6" fillId="0" borderId="53" xfId="0" applyFont="1" applyBorder="1" applyAlignment="1">
      <alignment horizontal="center"/>
    </xf>
    <xf numFmtId="0" fontId="6" fillId="0" borderId="19" xfId="0" applyFont="1" applyBorder="1" applyAlignment="1">
      <alignment horizontal="center"/>
    </xf>
    <xf numFmtId="0" fontId="6" fillId="0" borderId="11" xfId="0" applyFont="1" applyBorder="1" applyAlignment="1">
      <alignment horizontal="center"/>
    </xf>
    <xf numFmtId="0" fontId="99" fillId="0" borderId="0" xfId="30" quotePrefix="1" applyFont="1" applyFill="1"/>
    <xf numFmtId="0" fontId="17" fillId="0" borderId="0" xfId="30" applyFill="1"/>
    <xf numFmtId="0" fontId="4" fillId="0" borderId="0" xfId="0" applyFont="1" applyAlignment="1"/>
    <xf numFmtId="167" fontId="6" fillId="0" borderId="0" xfId="0" applyNumberFormat="1" applyFont="1" applyBorder="1"/>
    <xf numFmtId="0" fontId="6" fillId="0" borderId="67" xfId="0" applyFont="1" applyBorder="1" applyAlignment="1"/>
    <xf numFmtId="3" fontId="41" fillId="0" borderId="35" xfId="0" applyNumberFormat="1" applyFont="1" applyBorder="1"/>
    <xf numFmtId="3" fontId="4" fillId="0" borderId="35" xfId="0" applyNumberFormat="1" applyFont="1" applyBorder="1"/>
    <xf numFmtId="0" fontId="72" fillId="0" borderId="0" xfId="0" applyFont="1"/>
    <xf numFmtId="3" fontId="0" fillId="0" borderId="42" xfId="0" applyNumberFormat="1" applyBorder="1"/>
    <xf numFmtId="3" fontId="10" fillId="0" borderId="60" xfId="0" applyNumberFormat="1" applyFont="1" applyBorder="1"/>
    <xf numFmtId="3" fontId="10" fillId="0" borderId="42" xfId="0" applyNumberFormat="1" applyFont="1" applyBorder="1"/>
    <xf numFmtId="3" fontId="10" fillId="0" borderId="26" xfId="0" applyNumberFormat="1" applyFont="1" applyBorder="1"/>
    <xf numFmtId="3" fontId="10" fillId="0" borderId="36" xfId="0" applyNumberFormat="1" applyFont="1" applyBorder="1"/>
    <xf numFmtId="3" fontId="10" fillId="0" borderId="19" xfId="0" applyNumberFormat="1" applyFont="1" applyBorder="1"/>
    <xf numFmtId="3" fontId="6" fillId="0" borderId="38" xfId="0" applyNumberFormat="1" applyFont="1" applyBorder="1"/>
    <xf numFmtId="3" fontId="6" fillId="0" borderId="70" xfId="0" applyNumberFormat="1" applyFont="1" applyBorder="1"/>
    <xf numFmtId="3" fontId="0" fillId="0" borderId="0" xfId="0" quotePrefix="1" applyNumberFormat="1"/>
    <xf numFmtId="0" fontId="41" fillId="0" borderId="26" xfId="0" applyFont="1" applyBorder="1" applyAlignment="1">
      <alignment horizontal="center" vertical="center" wrapText="1"/>
    </xf>
    <xf numFmtId="0" fontId="0" fillId="0" borderId="67" xfId="0" applyBorder="1"/>
    <xf numFmtId="0" fontId="41" fillId="0" borderId="0" xfId="0" applyFont="1" applyBorder="1" applyAlignment="1">
      <alignment horizontal="center" vertical="center" wrapText="1"/>
    </xf>
    <xf numFmtId="0" fontId="4" fillId="0" borderId="48" xfId="0" applyFont="1" applyBorder="1" applyAlignment="1">
      <alignment horizontal="center"/>
    </xf>
    <xf numFmtId="0" fontId="4" fillId="0" borderId="47" xfId="0" applyFont="1" applyBorder="1" applyAlignment="1">
      <alignment horizontal="center"/>
    </xf>
    <xf numFmtId="167" fontId="0" fillId="0" borderId="54" xfId="0" applyNumberFormat="1" applyBorder="1"/>
    <xf numFmtId="167" fontId="0" fillId="0" borderId="47" xfId="0" applyNumberFormat="1" applyBorder="1"/>
    <xf numFmtId="0" fontId="4" fillId="0" borderId="0" xfId="0" applyFont="1" applyFill="1"/>
    <xf numFmtId="166" fontId="4" fillId="25" borderId="11" xfId="0" applyNumberFormat="1" applyFont="1" applyFill="1" applyBorder="1"/>
    <xf numFmtId="166" fontId="4" fillId="24" borderId="11" xfId="0" applyNumberFormat="1" applyFont="1" applyFill="1" applyBorder="1"/>
    <xf numFmtId="0" fontId="5" fillId="0" borderId="0" xfId="0" applyFont="1"/>
    <xf numFmtId="3" fontId="100" fillId="0" borderId="0" xfId="35" applyNumberFormat="1" applyFont="1" applyFill="1" applyBorder="1" applyAlignment="1" applyProtection="1"/>
    <xf numFmtId="3" fontId="72" fillId="60" borderId="11" xfId="0" applyNumberFormat="1" applyFont="1" applyFill="1" applyBorder="1"/>
    <xf numFmtId="3" fontId="6" fillId="60" borderId="11" xfId="0" applyNumberFormat="1" applyFont="1" applyFill="1" applyBorder="1"/>
    <xf numFmtId="3" fontId="101" fillId="0" borderId="0" xfId="0" applyNumberFormat="1" applyFont="1" applyFill="1" applyBorder="1" applyAlignment="1">
      <alignment horizontal="left"/>
    </xf>
    <xf numFmtId="3" fontId="10" fillId="0" borderId="27" xfId="0" applyNumberFormat="1" applyFont="1" applyFill="1" applyBorder="1"/>
    <xf numFmtId="3" fontId="10" fillId="0" borderId="30" xfId="0" applyNumberFormat="1" applyFont="1" applyFill="1" applyBorder="1"/>
    <xf numFmtId="3" fontId="6" fillId="0" borderId="34" xfId="0" applyNumberFormat="1" applyFont="1" applyFill="1" applyBorder="1"/>
    <xf numFmtId="3" fontId="10" fillId="0" borderId="11" xfId="0" applyNumberFormat="1" applyFont="1" applyFill="1" applyBorder="1"/>
    <xf numFmtId="167" fontId="10" fillId="0" borderId="0" xfId="0" applyNumberFormat="1" applyFont="1" applyFill="1" applyBorder="1"/>
    <xf numFmtId="166" fontId="10" fillId="0" borderId="0" xfId="0" applyNumberFormat="1" applyFont="1" applyFill="1" applyBorder="1"/>
    <xf numFmtId="167" fontId="4" fillId="0" borderId="0" xfId="0" applyNumberFormat="1" applyFont="1" applyFill="1"/>
    <xf numFmtId="3" fontId="4" fillId="0" borderId="11" xfId="0" applyNumberFormat="1" applyFont="1" applyFill="1" applyBorder="1"/>
    <xf numFmtId="3" fontId="0" fillId="0" borderId="30" xfId="0" applyNumberFormat="1" applyFill="1" applyBorder="1"/>
    <xf numFmtId="3" fontId="41" fillId="0" borderId="11" xfId="0" applyNumberFormat="1" applyFont="1" applyFill="1" applyBorder="1"/>
    <xf numFmtId="3" fontId="0" fillId="0" borderId="49" xfId="0" applyNumberFormat="1" applyFill="1" applyBorder="1"/>
    <xf numFmtId="3" fontId="6" fillId="0" borderId="49" xfId="0" applyNumberFormat="1" applyFont="1" applyFill="1" applyBorder="1"/>
    <xf numFmtId="2" fontId="4" fillId="0" borderId="0" xfId="0" applyNumberFormat="1" applyFont="1" applyFill="1" applyAlignment="1"/>
    <xf numFmtId="2" fontId="4" fillId="0" borderId="0" xfId="0" applyNumberFormat="1" applyFont="1" applyFill="1"/>
    <xf numFmtId="3" fontId="4" fillId="0" borderId="19" xfId="0" applyNumberFormat="1" applyFont="1" applyFill="1" applyBorder="1"/>
    <xf numFmtId="3" fontId="6" fillId="0" borderId="36" xfId="0" applyNumberFormat="1" applyFont="1" applyBorder="1"/>
    <xf numFmtId="3" fontId="6" fillId="0" borderId="19" xfId="0" applyNumberFormat="1" applyFont="1" applyFill="1" applyBorder="1"/>
    <xf numFmtId="167" fontId="0" fillId="0" borderId="0" xfId="0" applyNumberFormat="1" applyFill="1"/>
    <xf numFmtId="3" fontId="4" fillId="0" borderId="30" xfId="0" applyNumberFormat="1" applyFont="1" applyFill="1" applyBorder="1"/>
    <xf numFmtId="3" fontId="6" fillId="0" borderId="30" xfId="0" applyNumberFormat="1" applyFont="1" applyFill="1" applyBorder="1"/>
    <xf numFmtId="167" fontId="0" fillId="0" borderId="0" xfId="0" applyNumberFormat="1" applyFill="1" applyBorder="1" applyAlignment="1">
      <alignment vertical="center"/>
    </xf>
    <xf numFmtId="167" fontId="0" fillId="0" borderId="0" xfId="0" applyNumberFormat="1" applyFill="1" applyBorder="1"/>
    <xf numFmtId="0" fontId="8" fillId="0" borderId="0" xfId="35" applyFill="1" applyAlignment="1" applyProtection="1"/>
    <xf numFmtId="3" fontId="0" fillId="0" borderId="0" xfId="0" applyNumberFormat="1" applyFill="1" applyBorder="1"/>
    <xf numFmtId="3" fontId="4" fillId="0" borderId="0" xfId="0" applyNumberFormat="1" applyFont="1" applyFill="1" applyBorder="1"/>
    <xf numFmtId="3" fontId="4" fillId="0" borderId="43" xfId="0" applyNumberFormat="1" applyFont="1" applyFill="1" applyBorder="1"/>
    <xf numFmtId="3" fontId="6" fillId="0" borderId="44" xfId="0" applyNumberFormat="1" applyFont="1" applyFill="1" applyBorder="1"/>
    <xf numFmtId="3" fontId="41" fillId="0" borderId="44" xfId="0" applyNumberFormat="1" applyFont="1" applyFill="1" applyBorder="1"/>
    <xf numFmtId="3" fontId="6" fillId="0" borderId="45" xfId="0" applyNumberFormat="1" applyFont="1" applyFill="1" applyBorder="1"/>
    <xf numFmtId="0" fontId="4" fillId="0" borderId="36" xfId="0" applyFont="1" applyBorder="1" applyAlignment="1">
      <alignment horizontal="left" wrapText="1"/>
    </xf>
    <xf numFmtId="0" fontId="6" fillId="0" borderId="36" xfId="0" applyFont="1" applyBorder="1" applyAlignment="1">
      <alignment horizontal="left" wrapText="1"/>
    </xf>
    <xf numFmtId="1" fontId="4" fillId="0" borderId="11" xfId="0" applyNumberFormat="1" applyFont="1" applyFill="1" applyBorder="1"/>
    <xf numFmtId="1" fontId="4" fillId="0" borderId="36" xfId="0" applyNumberFormat="1" applyFont="1" applyFill="1" applyBorder="1"/>
    <xf numFmtId="1" fontId="4" fillId="0" borderId="30" xfId="0" applyNumberFormat="1" applyFont="1" applyFill="1" applyBorder="1"/>
    <xf numFmtId="167" fontId="4" fillId="0" borderId="19" xfId="0" applyNumberFormat="1" applyFont="1" applyFill="1" applyBorder="1"/>
    <xf numFmtId="167" fontId="4" fillId="0" borderId="11" xfId="0" applyNumberFormat="1" applyFont="1" applyFill="1" applyBorder="1"/>
    <xf numFmtId="167" fontId="4" fillId="0" borderId="36" xfId="0" applyNumberFormat="1" applyFont="1" applyFill="1" applyBorder="1"/>
    <xf numFmtId="167" fontId="6" fillId="0" borderId="19" xfId="0" applyNumberFormat="1" applyFont="1" applyFill="1" applyBorder="1"/>
    <xf numFmtId="167" fontId="6" fillId="0" borderId="11" xfId="0" applyNumberFormat="1" applyFont="1" applyFill="1" applyBorder="1"/>
    <xf numFmtId="167" fontId="6" fillId="0" borderId="36" xfId="0" applyNumberFormat="1" applyFont="1" applyFill="1" applyBorder="1"/>
    <xf numFmtId="1" fontId="6" fillId="0" borderId="30" xfId="0" applyNumberFormat="1" applyFont="1" applyFill="1" applyBorder="1"/>
    <xf numFmtId="1" fontId="6" fillId="0" borderId="11" xfId="0" applyNumberFormat="1" applyFont="1" applyFill="1" applyBorder="1"/>
    <xf numFmtId="1" fontId="6" fillId="0" borderId="36" xfId="0" applyNumberFormat="1" applyFont="1" applyFill="1" applyBorder="1"/>
    <xf numFmtId="167" fontId="0" fillId="0" borderId="11" xfId="0" applyNumberFormat="1" applyFill="1" applyBorder="1"/>
    <xf numFmtId="167" fontId="4" fillId="0" borderId="11" xfId="0" applyNumberFormat="1" applyFont="1" applyFill="1" applyBorder="1" applyAlignment="1">
      <alignment vertical="center"/>
    </xf>
    <xf numFmtId="166" fontId="4" fillId="0" borderId="11" xfId="0" applyNumberFormat="1" applyFont="1" applyFill="1" applyBorder="1"/>
    <xf numFmtId="3" fontId="72" fillId="25" borderId="11" xfId="0" applyNumberFormat="1" applyFont="1" applyFill="1" applyBorder="1"/>
    <xf numFmtId="164" fontId="72" fillId="25" borderId="11" xfId="43" applyNumberFormat="1" applyFont="1" applyFill="1" applyBorder="1"/>
    <xf numFmtId="169" fontId="4" fillId="0" borderId="0" xfId="0" applyNumberFormat="1" applyFont="1"/>
    <xf numFmtId="0" fontId="0" fillId="0" borderId="46" xfId="0" applyBorder="1" applyAlignment="1">
      <alignment horizontal="right"/>
    </xf>
    <xf numFmtId="3" fontId="100" fillId="0" borderId="83" xfId="35" applyNumberFormat="1" applyFont="1" applyFill="1" applyBorder="1" applyAlignment="1" applyProtection="1"/>
    <xf numFmtId="0" fontId="4" fillId="0" borderId="84" xfId="0" applyFont="1" applyBorder="1" applyAlignment="1">
      <alignment horizontal="center"/>
    </xf>
    <xf numFmtId="0" fontId="4" fillId="0" borderId="72" xfId="0" applyFont="1" applyBorder="1" applyAlignment="1">
      <alignment horizontal="center"/>
    </xf>
    <xf numFmtId="169" fontId="0" fillId="0" borderId="47" xfId="0" applyNumberFormat="1" applyBorder="1" applyAlignment="1">
      <alignment horizontal="center"/>
    </xf>
    <xf numFmtId="169" fontId="0" fillId="61" borderId="47" xfId="0" applyNumberFormat="1" applyFill="1" applyBorder="1" applyAlignment="1">
      <alignment horizontal="center"/>
    </xf>
    <xf numFmtId="169" fontId="0" fillId="61" borderId="87" xfId="0" applyNumberFormat="1" applyFill="1" applyBorder="1" applyAlignment="1">
      <alignment horizontal="center"/>
    </xf>
    <xf numFmtId="169" fontId="0" fillId="0" borderId="48" xfId="0" applyNumberFormat="1" applyFill="1" applyBorder="1" applyAlignment="1">
      <alignment horizontal="center"/>
    </xf>
    <xf numFmtId="0" fontId="4" fillId="0" borderId="85" xfId="0" applyFont="1" applyBorder="1" applyAlignment="1">
      <alignment horizontal="center"/>
    </xf>
    <xf numFmtId="169" fontId="0" fillId="0" borderId="47" xfId="0" applyNumberFormat="1" applyFill="1" applyBorder="1" applyAlignment="1">
      <alignment horizontal="center"/>
    </xf>
    <xf numFmtId="9" fontId="6" fillId="25" borderId="0" xfId="43" applyNumberFormat="1" applyFont="1" applyFill="1" applyBorder="1" applyAlignment="1"/>
    <xf numFmtId="0" fontId="6" fillId="0" borderId="30" xfId="0" applyFont="1" applyBorder="1" applyAlignment="1">
      <alignment horizontal="center"/>
    </xf>
    <xf numFmtId="0" fontId="50" fillId="0" borderId="0" xfId="0" applyFont="1" applyAlignment="1">
      <alignment vertical="center" wrapText="1"/>
    </xf>
    <xf numFmtId="0" fontId="50" fillId="0" borderId="0" xfId="0" applyFont="1" applyAlignment="1">
      <alignment horizontal="left" vertical="center" wrapText="1"/>
    </xf>
    <xf numFmtId="0" fontId="50" fillId="0" borderId="0" xfId="0" quotePrefix="1" applyFont="1" applyFill="1" applyAlignment="1">
      <alignment horizontal="left" vertical="center" wrapText="1"/>
    </xf>
    <xf numFmtId="0" fontId="54" fillId="0" borderId="0" xfId="0" applyFont="1" applyAlignment="1">
      <alignment horizontal="left" vertical="center" wrapText="1"/>
    </xf>
    <xf numFmtId="0" fontId="53" fillId="0" borderId="0" xfId="0" applyFont="1" applyAlignment="1">
      <alignment horizontal="center" vertical="center"/>
    </xf>
    <xf numFmtId="0" fontId="53" fillId="0" borderId="0" xfId="0" applyFont="1" applyFill="1" applyAlignment="1">
      <alignment horizontal="center" vertical="center"/>
    </xf>
    <xf numFmtId="0" fontId="50" fillId="0" borderId="0" xfId="0" applyFont="1" applyFill="1" applyBorder="1" applyAlignment="1">
      <alignment horizontal="left" vertical="top" wrapText="1"/>
    </xf>
    <xf numFmtId="0" fontId="50" fillId="0" borderId="0" xfId="0" applyFont="1" applyFill="1" applyBorder="1" applyAlignment="1">
      <alignment vertical="center" wrapText="1"/>
    </xf>
    <xf numFmtId="0" fontId="52" fillId="0" borderId="0" xfId="0" applyFont="1" applyBorder="1" applyAlignment="1">
      <alignment horizontal="center" vertical="center" wrapText="1"/>
    </xf>
    <xf numFmtId="0" fontId="53" fillId="0" borderId="0" xfId="0" applyFont="1" applyBorder="1" applyAlignment="1">
      <alignment horizontal="center" vertical="center"/>
    </xf>
    <xf numFmtId="0" fontId="50" fillId="0" borderId="0" xfId="0" applyFont="1" applyBorder="1" applyAlignment="1">
      <alignment horizontal="left" wrapText="1"/>
    </xf>
    <xf numFmtId="0" fontId="55" fillId="0" borderId="0" xfId="0" applyFont="1" applyBorder="1" applyAlignment="1">
      <alignment horizontal="left" vertical="center" wrapText="1"/>
    </xf>
    <xf numFmtId="3" fontId="50" fillId="0" borderId="0" xfId="0" applyNumberFormat="1" applyFont="1" applyFill="1" applyBorder="1" applyAlignment="1">
      <alignment horizontal="left" wrapText="1"/>
    </xf>
    <xf numFmtId="0" fontId="57" fillId="0" borderId="0" xfId="0" applyFont="1" applyAlignment="1">
      <alignment vertical="center" wrapText="1"/>
    </xf>
    <xf numFmtId="0" fontId="51" fillId="0" borderId="0" xfId="0" applyFont="1" applyAlignment="1">
      <alignment horizontal="left" vertical="center" wrapText="1"/>
    </xf>
    <xf numFmtId="0" fontId="50" fillId="0" borderId="0" xfId="0" applyFont="1" applyFill="1" applyAlignment="1">
      <alignment horizontal="left" vertical="center" wrapText="1"/>
    </xf>
    <xf numFmtId="0" fontId="56" fillId="0" borderId="0" xfId="0" applyFont="1" applyBorder="1" applyAlignment="1">
      <alignment horizontal="left" vertical="center" wrapText="1"/>
    </xf>
    <xf numFmtId="0" fontId="50" fillId="0" borderId="0" xfId="0" applyFont="1" applyBorder="1" applyAlignment="1">
      <alignment horizontal="left" vertical="center" wrapText="1"/>
    </xf>
    <xf numFmtId="0" fontId="56" fillId="0" borderId="0" xfId="0" applyFont="1" applyFill="1" applyAlignment="1">
      <alignment horizontal="left" vertical="center" wrapText="1"/>
    </xf>
    <xf numFmtId="0" fontId="59" fillId="0" borderId="0" xfId="0" applyFont="1" applyBorder="1" applyAlignment="1">
      <alignment horizontal="left" vertical="center" wrapText="1"/>
    </xf>
    <xf numFmtId="0" fontId="56" fillId="0" borderId="0" xfId="0" applyFont="1" applyAlignment="1">
      <alignment horizontal="left" vertical="center" wrapText="1"/>
    </xf>
    <xf numFmtId="0" fontId="49" fillId="0" borderId="0" xfId="0" applyFont="1" applyBorder="1" applyAlignment="1">
      <alignment horizontal="left" wrapText="1"/>
    </xf>
    <xf numFmtId="0" fontId="50" fillId="0" borderId="0" xfId="0" quotePrefix="1" applyFont="1" applyAlignment="1">
      <alignment horizontal="left" vertical="center" wrapText="1"/>
    </xf>
    <xf numFmtId="170" fontId="0" fillId="62" borderId="26" xfId="0" applyNumberFormat="1" applyFill="1" applyBorder="1" applyAlignment="1">
      <alignment horizontal="center"/>
    </xf>
    <xf numFmtId="0" fontId="51" fillId="0" borderId="0" xfId="0" applyFont="1" applyBorder="1" applyAlignment="1">
      <alignment horizontal="center" wrapText="1"/>
    </xf>
    <xf numFmtId="0" fontId="0" fillId="0" borderId="53" xfId="0" applyBorder="1" applyAlignment="1"/>
    <xf numFmtId="0" fontId="0" fillId="0" borderId="0" xfId="0" applyAlignment="1">
      <alignment horizontal="center"/>
    </xf>
    <xf numFmtId="0" fontId="6" fillId="0" borderId="53" xfId="0" applyFont="1" applyBorder="1" applyAlignment="1">
      <alignment horizontal="center"/>
    </xf>
    <xf numFmtId="0" fontId="6" fillId="0" borderId="30" xfId="0" applyFont="1" applyBorder="1" applyAlignment="1">
      <alignment horizontal="center"/>
    </xf>
    <xf numFmtId="0" fontId="6" fillId="0" borderId="0" xfId="0" applyFont="1" applyBorder="1" applyAlignment="1">
      <alignment horizontal="center"/>
    </xf>
    <xf numFmtId="0" fontId="0" fillId="0" borderId="0" xfId="0" applyBorder="1" applyAlignment="1">
      <alignment wrapText="1"/>
    </xf>
    <xf numFmtId="0" fontId="6" fillId="0" borderId="0" xfId="0" applyFont="1" applyBorder="1" applyAlignment="1">
      <alignment horizontal="left" wrapText="1"/>
    </xf>
    <xf numFmtId="1" fontId="4" fillId="0" borderId="0" xfId="0" applyNumberFormat="1" applyFont="1" applyFill="1" applyBorder="1"/>
    <xf numFmtId="1" fontId="6" fillId="0" borderId="0" xfId="0" applyNumberFormat="1" applyFont="1" applyFill="1" applyBorder="1"/>
    <xf numFmtId="0" fontId="6" fillId="0" borderId="11" xfId="0" applyFont="1" applyBorder="1" applyAlignment="1">
      <alignment horizontal="center" wrapText="1"/>
    </xf>
    <xf numFmtId="169" fontId="76" fillId="0" borderId="0" xfId="0" applyNumberFormat="1" applyFont="1" applyBorder="1"/>
    <xf numFmtId="3" fontId="41" fillId="0" borderId="36" xfId="0" applyNumberFormat="1" applyFont="1" applyBorder="1"/>
    <xf numFmtId="3" fontId="10" fillId="0" borderId="60" xfId="0" applyNumberFormat="1" applyFont="1" applyFill="1" applyBorder="1"/>
    <xf numFmtId="3" fontId="10" fillId="0" borderId="36" xfId="0" applyNumberFormat="1" applyFont="1" applyFill="1" applyBorder="1"/>
    <xf numFmtId="3" fontId="6" fillId="0" borderId="70" xfId="0" applyNumberFormat="1" applyFont="1" applyFill="1" applyBorder="1"/>
    <xf numFmtId="0" fontId="6" fillId="0" borderId="65" xfId="0" applyFont="1" applyBorder="1" applyAlignment="1">
      <alignment horizontal="center"/>
    </xf>
    <xf numFmtId="0" fontId="55" fillId="0" borderId="0" xfId="0" applyFont="1" applyBorder="1" applyAlignment="1">
      <alignment horizontal="left" vertical="center" wrapText="1"/>
    </xf>
    <xf numFmtId="9" fontId="50" fillId="0" borderId="36" xfId="43" applyFont="1" applyFill="1" applyBorder="1" applyAlignment="1">
      <alignment horizontal="center" vertical="center"/>
    </xf>
    <xf numFmtId="9" fontId="50" fillId="0" borderId="53" xfId="43" applyFont="1" applyFill="1" applyBorder="1" applyAlignment="1">
      <alignment horizontal="center" vertical="center"/>
    </xf>
    <xf numFmtId="0" fontId="0" fillId="0" borderId="19" xfId="0" applyBorder="1" applyAlignment="1"/>
    <xf numFmtId="0" fontId="0" fillId="0" borderId="19" xfId="0" applyBorder="1" applyAlignment="1">
      <alignment horizontal="center" vertical="center"/>
    </xf>
    <xf numFmtId="0" fontId="49" fillId="0" borderId="0" xfId="0" applyFont="1" applyBorder="1" applyAlignment="1">
      <alignment horizontal="left" wrapText="1"/>
    </xf>
    <xf numFmtId="0" fontId="50" fillId="0" borderId="0" xfId="0" applyFont="1" applyAlignment="1">
      <alignment horizontal="left" vertical="center" wrapText="1"/>
    </xf>
    <xf numFmtId="0" fontId="50" fillId="0" borderId="0" xfId="0" quotePrefix="1" applyFont="1" applyAlignment="1">
      <alignment horizontal="left" vertical="center" wrapText="1"/>
    </xf>
    <xf numFmtId="0" fontId="55" fillId="0" borderId="0" xfId="0" applyFont="1" applyBorder="1" applyAlignment="1">
      <alignment horizontal="left" vertical="center" wrapText="1"/>
    </xf>
    <xf numFmtId="0" fontId="50" fillId="0" borderId="0" xfId="0" quotePrefix="1" applyFont="1" applyFill="1" applyAlignment="1">
      <alignment horizontal="left" vertical="center" wrapText="1"/>
    </xf>
    <xf numFmtId="0" fontId="50" fillId="0" borderId="0" xfId="0" quotePrefix="1" applyFont="1" applyAlignment="1">
      <alignment vertical="center" wrapText="1"/>
    </xf>
    <xf numFmtId="0" fontId="50" fillId="0" borderId="0" xfId="0" applyFont="1" applyAlignment="1">
      <alignment vertical="center" wrapText="1"/>
    </xf>
    <xf numFmtId="0" fontId="54" fillId="0" borderId="0" xfId="0" applyFont="1" applyAlignment="1">
      <alignment vertical="center" wrapText="1"/>
    </xf>
    <xf numFmtId="0" fontId="50" fillId="0" borderId="25" xfId="0" applyFont="1" applyBorder="1" applyAlignment="1">
      <alignment horizontal="left" wrapText="1"/>
    </xf>
    <xf numFmtId="0" fontId="50" fillId="0" borderId="27" xfId="0" applyFont="1" applyBorder="1" applyAlignment="1">
      <alignment horizontal="left" wrapText="1"/>
    </xf>
    <xf numFmtId="0" fontId="56" fillId="0" borderId="0" xfId="0" applyFont="1" applyFill="1" applyAlignment="1">
      <alignment horizontal="left" vertical="center" wrapText="1"/>
    </xf>
    <xf numFmtId="0" fontId="53" fillId="0" borderId="0" xfId="0" applyFont="1" applyAlignment="1">
      <alignment horizontal="center" vertical="center"/>
    </xf>
    <xf numFmtId="0" fontId="59" fillId="0" borderId="0" xfId="0" applyFont="1" applyBorder="1" applyAlignment="1">
      <alignment horizontal="left" vertical="center" wrapText="1"/>
    </xf>
    <xf numFmtId="0" fontId="56" fillId="0" borderId="0" xfId="0" applyFont="1" applyAlignment="1">
      <alignment horizontal="left" vertical="center" wrapText="1"/>
    </xf>
    <xf numFmtId="0" fontId="57" fillId="0" borderId="0" xfId="0" applyFont="1" applyAlignment="1">
      <alignment vertical="center" wrapText="1"/>
    </xf>
    <xf numFmtId="3" fontId="0" fillId="24" borderId="11" xfId="0" applyNumberFormat="1" applyFill="1" applyBorder="1" applyAlignment="1">
      <alignment horizontal="center"/>
    </xf>
    <xf numFmtId="3" fontId="51" fillId="0" borderId="36" xfId="0" applyNumberFormat="1" applyFont="1" applyFill="1" applyBorder="1" applyAlignment="1">
      <alignment horizontal="left"/>
    </xf>
    <xf numFmtId="3" fontId="51" fillId="0" borderId="19" xfId="0" applyNumberFormat="1" applyFont="1" applyFill="1" applyBorder="1" applyAlignment="1">
      <alignment horizontal="left"/>
    </xf>
    <xf numFmtId="3" fontId="50" fillId="0" borderId="36" xfId="0" applyNumberFormat="1" applyFont="1" applyFill="1" applyBorder="1" applyAlignment="1">
      <alignment horizontal="left"/>
    </xf>
    <xf numFmtId="3" fontId="50" fillId="0" borderId="19" xfId="0" applyNumberFormat="1" applyFont="1" applyFill="1" applyBorder="1" applyAlignment="1">
      <alignment horizontal="left"/>
    </xf>
    <xf numFmtId="0" fontId="50" fillId="0" borderId="0" xfId="0" applyFont="1" applyBorder="1" applyAlignment="1">
      <alignment horizontal="left" vertical="center" wrapText="1"/>
    </xf>
    <xf numFmtId="3" fontId="6" fillId="0" borderId="36" xfId="0" applyNumberFormat="1" applyFont="1" applyFill="1" applyBorder="1" applyAlignment="1">
      <alignment horizontal="left"/>
    </xf>
    <xf numFmtId="3" fontId="6" fillId="0" borderId="19" xfId="0" applyNumberFormat="1" applyFont="1" applyFill="1" applyBorder="1" applyAlignment="1">
      <alignment horizontal="left"/>
    </xf>
    <xf numFmtId="3" fontId="0" fillId="0" borderId="36" xfId="0" applyNumberFormat="1" applyFill="1" applyBorder="1" applyAlignment="1">
      <alignment horizontal="left"/>
    </xf>
    <xf numFmtId="3" fontId="0" fillId="0" borderId="19" xfId="0" applyNumberFormat="1" applyFill="1" applyBorder="1" applyAlignment="1">
      <alignment horizontal="left"/>
    </xf>
    <xf numFmtId="0" fontId="51" fillId="0" borderId="53" xfId="0" applyFont="1" applyFill="1" applyBorder="1" applyAlignment="1">
      <alignment horizontal="center" wrapText="1"/>
    </xf>
    <xf numFmtId="0" fontId="51" fillId="0" borderId="19" xfId="0" applyFont="1" applyFill="1" applyBorder="1" applyAlignment="1">
      <alignment horizontal="center" wrapText="1"/>
    </xf>
    <xf numFmtId="0" fontId="50" fillId="0" borderId="0" xfId="0" applyFont="1" applyFill="1" applyAlignment="1">
      <alignment horizontal="left" vertical="center" wrapText="1"/>
    </xf>
    <xf numFmtId="0" fontId="56" fillId="0" borderId="0" xfId="0" applyFont="1" applyBorder="1" applyAlignment="1">
      <alignment horizontal="left" vertical="center" wrapText="1"/>
    </xf>
    <xf numFmtId="0" fontId="50" fillId="0" borderId="77" xfId="0" applyFont="1" applyBorder="1" applyAlignment="1">
      <alignment horizontal="left" wrapText="1"/>
    </xf>
    <xf numFmtId="0" fontId="50" fillId="0" borderId="65" xfId="0" applyFont="1" applyBorder="1" applyAlignment="1">
      <alignment horizontal="left" wrapText="1"/>
    </xf>
    <xf numFmtId="0" fontId="40" fillId="26" borderId="75" xfId="0" applyFont="1" applyFill="1" applyBorder="1" applyAlignment="1">
      <alignment horizontal="center" vertical="center" wrapText="1"/>
    </xf>
    <xf numFmtId="0" fontId="40" fillId="26" borderId="54" xfId="0" applyFont="1" applyFill="1" applyBorder="1" applyAlignment="1">
      <alignment horizontal="center" vertical="center" wrapText="1"/>
    </xf>
    <xf numFmtId="0" fontId="40" fillId="26" borderId="72" xfId="0" applyFont="1" applyFill="1" applyBorder="1" applyAlignment="1">
      <alignment horizontal="center" vertical="center" wrapText="1"/>
    </xf>
    <xf numFmtId="0" fontId="40" fillId="26" borderId="76" xfId="0" applyFont="1" applyFill="1" applyBorder="1" applyAlignment="1">
      <alignment horizontal="center" vertical="center" wrapText="1"/>
    </xf>
    <xf numFmtId="0" fontId="40" fillId="26" borderId="0" xfId="0" applyFont="1" applyFill="1" applyBorder="1" applyAlignment="1">
      <alignment horizontal="center" vertical="center" wrapText="1"/>
    </xf>
    <xf numFmtId="0" fontId="40" fillId="26" borderId="43" xfId="0" applyFont="1" applyFill="1" applyBorder="1" applyAlignment="1">
      <alignment horizontal="center" vertical="center" wrapText="1"/>
    </xf>
    <xf numFmtId="0" fontId="40" fillId="26" borderId="46" xfId="0" applyFont="1" applyFill="1" applyBorder="1" applyAlignment="1">
      <alignment horizontal="center" vertical="center" wrapText="1"/>
    </xf>
    <xf numFmtId="0" fontId="40" fillId="26" borderId="47" xfId="0" applyFont="1" applyFill="1" applyBorder="1" applyAlignment="1">
      <alignment horizontal="center" vertical="center" wrapText="1"/>
    </xf>
    <xf numFmtId="0" fontId="40" fillId="26" borderId="48" xfId="0" applyFont="1" applyFill="1" applyBorder="1" applyAlignment="1">
      <alignment horizontal="center" vertical="center" wrapText="1"/>
    </xf>
    <xf numFmtId="0" fontId="50" fillId="0" borderId="66" xfId="0" applyFont="1" applyBorder="1" applyAlignment="1">
      <alignment horizontal="center" vertical="center"/>
    </xf>
    <xf numFmtId="0" fontId="50" fillId="0" borderId="59" xfId="0" applyFont="1" applyBorder="1" applyAlignment="1">
      <alignment horizontal="center" vertical="center"/>
    </xf>
    <xf numFmtId="0" fontId="50" fillId="0" borderId="0" xfId="0" applyFont="1" applyBorder="1" applyAlignment="1">
      <alignment horizontal="left" wrapText="1"/>
    </xf>
    <xf numFmtId="3" fontId="51" fillId="0" borderId="37" xfId="0" applyNumberFormat="1" applyFont="1" applyFill="1" applyBorder="1" applyAlignment="1">
      <alignment horizontal="left"/>
    </xf>
    <xf numFmtId="3" fontId="6" fillId="0" borderId="11" xfId="0" applyNumberFormat="1" applyFont="1" applyFill="1" applyBorder="1" applyAlignment="1">
      <alignment horizontal="center"/>
    </xf>
    <xf numFmtId="0" fontId="53" fillId="0" borderId="0" xfId="0" applyFont="1" applyBorder="1" applyAlignment="1">
      <alignment horizontal="center" vertical="center"/>
    </xf>
    <xf numFmtId="0" fontId="51" fillId="0" borderId="36" xfId="0" applyFont="1" applyFill="1" applyBorder="1" applyAlignment="1">
      <alignment horizontal="center" wrapText="1"/>
    </xf>
    <xf numFmtId="0" fontId="54" fillId="0" borderId="0" xfId="0" applyFont="1" applyAlignment="1">
      <alignment horizontal="left" vertical="center" wrapText="1"/>
    </xf>
    <xf numFmtId="0" fontId="54" fillId="0" borderId="0" xfId="0" quotePrefix="1" applyFont="1" applyFill="1" applyAlignment="1">
      <alignment vertical="center" wrapText="1"/>
    </xf>
    <xf numFmtId="0" fontId="51" fillId="0" borderId="0" xfId="0" applyFont="1" applyAlignment="1">
      <alignment horizontal="left" vertical="center" wrapText="1"/>
    </xf>
    <xf numFmtId="0" fontId="50" fillId="0" borderId="66" xfId="0" applyFont="1" applyBorder="1" applyAlignment="1">
      <alignment horizontal="left" wrapText="1"/>
    </xf>
    <xf numFmtId="0" fontId="50" fillId="0" borderId="59" xfId="0" applyFont="1" applyBorder="1" applyAlignment="1">
      <alignment horizontal="left" wrapText="1"/>
    </xf>
    <xf numFmtId="0" fontId="6" fillId="0" borderId="0" xfId="0" applyFont="1" applyAlignment="1">
      <alignment horizontal="center"/>
    </xf>
    <xf numFmtId="0" fontId="51" fillId="28" borderId="74" xfId="0" applyFont="1" applyFill="1" applyBorder="1" applyAlignment="1" applyProtection="1">
      <alignment horizontal="center"/>
      <protection locked="0"/>
    </xf>
    <xf numFmtId="0" fontId="51" fillId="28" borderId="78" xfId="0" applyFont="1" applyFill="1" applyBorder="1" applyAlignment="1" applyProtection="1">
      <alignment horizontal="center"/>
      <protection locked="0"/>
    </xf>
    <xf numFmtId="0" fontId="51" fillId="28" borderId="79" xfId="0" applyFont="1" applyFill="1" applyBorder="1" applyAlignment="1" applyProtection="1">
      <alignment horizontal="center"/>
      <protection locked="0"/>
    </xf>
    <xf numFmtId="0" fontId="52" fillId="0" borderId="0" xfId="0" applyFont="1" applyBorder="1" applyAlignment="1">
      <alignment horizontal="center" vertical="center" wrapText="1"/>
    </xf>
    <xf numFmtId="3" fontId="50" fillId="0" borderId="11" xfId="0" applyNumberFormat="1" applyFont="1" applyFill="1" applyBorder="1" applyAlignment="1">
      <alignment horizontal="center" vertical="center"/>
    </xf>
    <xf numFmtId="3" fontId="51" fillId="0" borderId="36" xfId="0" applyNumberFormat="1" applyFont="1" applyFill="1" applyBorder="1" applyAlignment="1">
      <alignment horizontal="center" vertical="center" wrapText="1"/>
    </xf>
    <xf numFmtId="3" fontId="51" fillId="0" borderId="19" xfId="0" applyNumberFormat="1" applyFont="1" applyFill="1" applyBorder="1" applyAlignment="1">
      <alignment horizontal="center" vertical="center" wrapText="1"/>
    </xf>
    <xf numFmtId="3" fontId="51" fillId="0" borderId="11" xfId="0" applyNumberFormat="1" applyFont="1" applyFill="1" applyBorder="1" applyAlignment="1">
      <alignment horizontal="center" vertical="center"/>
    </xf>
    <xf numFmtId="0" fontId="6" fillId="0" borderId="60" xfId="0" applyFont="1" applyFill="1" applyBorder="1" applyAlignment="1">
      <alignment horizontal="center" wrapText="1"/>
    </xf>
    <xf numFmtId="0" fontId="6" fillId="0" borderId="67" xfId="0" applyFont="1" applyFill="1" applyBorder="1" applyAlignment="1">
      <alignment horizontal="center" wrapText="1"/>
    </xf>
    <xf numFmtId="0" fontId="51" fillId="0" borderId="60" xfId="0" applyFont="1" applyBorder="1" applyAlignment="1">
      <alignment horizontal="center" wrapText="1"/>
    </xf>
    <xf numFmtId="0" fontId="51" fillId="0" borderId="67" xfId="0" applyFont="1" applyBorder="1" applyAlignment="1">
      <alignment horizontal="center" wrapText="1"/>
    </xf>
    <xf numFmtId="3" fontId="50" fillId="0" borderId="0" xfId="0" applyNumberFormat="1" applyFont="1" applyFill="1" applyBorder="1" applyAlignment="1">
      <alignment horizontal="left" wrapText="1"/>
    </xf>
    <xf numFmtId="0" fontId="53" fillId="0" borderId="0" xfId="0" applyFont="1" applyFill="1" applyAlignment="1">
      <alignment horizontal="center" vertical="center"/>
    </xf>
    <xf numFmtId="0" fontId="55" fillId="0" borderId="0" xfId="0" quotePrefix="1" applyFont="1" applyFill="1" applyBorder="1" applyAlignment="1">
      <alignment horizontal="left" vertical="top" wrapText="1"/>
    </xf>
    <xf numFmtId="0" fontId="50" fillId="0" borderId="0" xfId="0" applyFont="1" applyFill="1" applyBorder="1" applyAlignment="1">
      <alignment horizontal="left" vertical="top" wrapText="1"/>
    </xf>
    <xf numFmtId="0" fontId="55" fillId="0" borderId="0" xfId="0" applyFont="1" applyFill="1" applyBorder="1" applyAlignment="1">
      <alignment vertical="center" wrapText="1"/>
    </xf>
    <xf numFmtId="0" fontId="50" fillId="0" borderId="0" xfId="0" applyFont="1" applyFill="1" applyBorder="1" applyAlignment="1">
      <alignment vertical="center" wrapText="1"/>
    </xf>
    <xf numFmtId="3" fontId="0" fillId="24" borderId="10" xfId="0" applyNumberFormat="1" applyFill="1" applyBorder="1" applyAlignment="1">
      <alignment horizontal="center"/>
    </xf>
    <xf numFmtId="3" fontId="0" fillId="24" borderId="62" xfId="0" applyNumberFormat="1" applyFill="1" applyBorder="1" applyAlignment="1">
      <alignment horizontal="center"/>
    </xf>
    <xf numFmtId="0" fontId="0" fillId="0" borderId="0" xfId="0" quotePrefix="1" applyFill="1" applyAlignment="1">
      <alignment vertical="center" wrapText="1"/>
    </xf>
    <xf numFmtId="0" fontId="0" fillId="0" borderId="0" xfId="0" applyFill="1" applyAlignment="1">
      <alignment vertical="center" wrapText="1"/>
    </xf>
    <xf numFmtId="0" fontId="10" fillId="0" borderId="25" xfId="0" applyFont="1" applyBorder="1" applyAlignment="1">
      <alignment horizontal="left" wrapText="1"/>
    </xf>
    <xf numFmtId="0" fontId="10" fillId="0" borderId="27" xfId="0" applyFont="1" applyBorder="1" applyAlignment="1">
      <alignment horizontal="left" wrapText="1"/>
    </xf>
    <xf numFmtId="0" fontId="0" fillId="0" borderId="0" xfId="0" quotePrefix="1" applyAlignment="1">
      <alignment horizontal="left" vertical="center" wrapText="1"/>
    </xf>
    <xf numFmtId="0" fontId="0" fillId="0" borderId="0" xfId="0" applyAlignment="1">
      <alignment horizontal="left" vertical="center" wrapText="1"/>
    </xf>
    <xf numFmtId="0" fontId="9" fillId="0" borderId="0" xfId="0" applyFont="1" applyAlignment="1">
      <alignment vertical="center" wrapText="1"/>
    </xf>
    <xf numFmtId="0" fontId="0" fillId="0" borderId="0" xfId="0" applyAlignment="1">
      <alignment vertical="center" wrapText="1"/>
    </xf>
    <xf numFmtId="0" fontId="0" fillId="0" borderId="0" xfId="0" quotePrefix="1" applyAlignment="1">
      <alignment vertical="center" wrapText="1"/>
    </xf>
    <xf numFmtId="0" fontId="46" fillId="0" borderId="0" xfId="0" quotePrefix="1" applyFont="1" applyFill="1" applyBorder="1" applyAlignment="1">
      <alignment horizontal="left" vertical="top" wrapText="1"/>
    </xf>
    <xf numFmtId="0" fontId="0" fillId="0" borderId="0" xfId="0" applyFill="1" applyBorder="1" applyAlignment="1">
      <alignment horizontal="left" vertical="top" wrapText="1"/>
    </xf>
    <xf numFmtId="0" fontId="46" fillId="0" borderId="0" xfId="0" applyFont="1" applyFill="1" applyBorder="1" applyAlignment="1">
      <alignment vertical="center" wrapText="1"/>
    </xf>
    <xf numFmtId="0" fontId="0" fillId="0" borderId="0" xfId="0" applyFill="1" applyBorder="1" applyAlignment="1">
      <alignment vertical="center" wrapText="1"/>
    </xf>
    <xf numFmtId="0" fontId="9" fillId="0" borderId="0" xfId="0" applyFont="1" applyAlignment="1">
      <alignment horizontal="left" vertical="center" wrapText="1"/>
    </xf>
    <xf numFmtId="0" fontId="43" fillId="0" borderId="0" xfId="0" applyFont="1" applyAlignment="1">
      <alignment horizontal="center" vertical="center"/>
    </xf>
    <xf numFmtId="0" fontId="43" fillId="0" borderId="0" xfId="0" applyFont="1" applyFill="1" applyAlignment="1">
      <alignment horizontal="center" vertical="center"/>
    </xf>
    <xf numFmtId="0" fontId="10" fillId="0" borderId="0" xfId="0" applyFont="1" applyAlignment="1">
      <alignment vertical="center" wrapText="1"/>
    </xf>
    <xf numFmtId="0" fontId="10" fillId="0" borderId="0" xfId="0" quotePrefix="1" applyFont="1" applyAlignment="1">
      <alignment vertical="center" wrapText="1"/>
    </xf>
    <xf numFmtId="0" fontId="9" fillId="0" borderId="0" xfId="0" quotePrefix="1" applyFont="1" applyFill="1" applyAlignment="1">
      <alignment vertical="center" wrapText="1"/>
    </xf>
    <xf numFmtId="0" fontId="47" fillId="0" borderId="0" xfId="0" applyFont="1" applyAlignment="1">
      <alignment vertical="center" wrapText="1"/>
    </xf>
    <xf numFmtId="3" fontId="6" fillId="0" borderId="11" xfId="0" applyNumberFormat="1" applyFont="1" applyFill="1" applyBorder="1" applyAlignment="1">
      <alignment horizontal="center" vertical="center"/>
    </xf>
    <xf numFmtId="0" fontId="0" fillId="0" borderId="0" xfId="0" applyAlignment="1">
      <alignment horizontal="left" wrapText="1"/>
    </xf>
    <xf numFmtId="3" fontId="0" fillId="0" borderId="11" xfId="0" applyNumberFormat="1" applyFill="1" applyBorder="1" applyAlignment="1">
      <alignment horizontal="center" vertical="center"/>
    </xf>
    <xf numFmtId="3" fontId="0" fillId="0" borderId="0" xfId="0" applyNumberFormat="1" applyFill="1" applyBorder="1" applyAlignment="1">
      <alignment horizontal="left" wrapText="1"/>
    </xf>
    <xf numFmtId="0" fontId="6" fillId="0" borderId="36" xfId="0" applyFont="1" applyFill="1" applyBorder="1" applyAlignment="1">
      <alignment horizontal="center" wrapText="1"/>
    </xf>
    <xf numFmtId="0" fontId="6" fillId="0" borderId="53" xfId="0" applyFont="1" applyFill="1" applyBorder="1" applyAlignment="1">
      <alignment horizontal="center" wrapText="1"/>
    </xf>
    <xf numFmtId="0" fontId="6" fillId="0" borderId="19" xfId="0" applyFont="1" applyFill="1" applyBorder="1" applyAlignment="1">
      <alignment horizontal="center" wrapText="1"/>
    </xf>
    <xf numFmtId="0" fontId="46" fillId="0" borderId="0" xfId="0" applyFont="1" applyBorder="1" applyAlignment="1">
      <alignment horizontal="left" vertical="center" wrapText="1"/>
    </xf>
    <xf numFmtId="3" fontId="6" fillId="0" borderId="37" xfId="0" applyNumberFormat="1" applyFont="1" applyFill="1" applyBorder="1" applyAlignment="1">
      <alignment horizontal="left"/>
    </xf>
    <xf numFmtId="0" fontId="45" fillId="0" borderId="0" xfId="0" applyFont="1" applyBorder="1" applyAlignment="1">
      <alignment horizontal="center" vertical="center" wrapText="1"/>
    </xf>
    <xf numFmtId="0" fontId="6" fillId="0" borderId="36" xfId="0" applyFont="1" applyBorder="1" applyAlignment="1">
      <alignment horizontal="center" wrapText="1"/>
    </xf>
    <xf numFmtId="0" fontId="6" fillId="0" borderId="53" xfId="0" applyFont="1" applyBorder="1" applyAlignment="1">
      <alignment horizontal="center" wrapText="1"/>
    </xf>
    <xf numFmtId="0" fontId="6" fillId="0" borderId="19" xfId="0" applyFont="1" applyBorder="1" applyAlignment="1">
      <alignment horizontal="center" wrapText="1"/>
    </xf>
    <xf numFmtId="9" fontId="4" fillId="0" borderId="36" xfId="43" applyFill="1" applyBorder="1" applyAlignment="1">
      <alignment horizontal="center" vertical="center"/>
    </xf>
    <xf numFmtId="0" fontId="0" fillId="0" borderId="53" xfId="0" applyBorder="1" applyAlignment="1">
      <alignment vertical="center"/>
    </xf>
    <xf numFmtId="0" fontId="0" fillId="0" borderId="19" xfId="0" applyBorder="1" applyAlignment="1">
      <alignment vertical="center"/>
    </xf>
    <xf numFmtId="0" fontId="0" fillId="0" borderId="0" xfId="0" applyFill="1" applyAlignment="1">
      <alignment horizontal="left" vertical="center" wrapText="1"/>
    </xf>
    <xf numFmtId="0" fontId="42" fillId="0" borderId="0" xfId="0" applyFont="1" applyAlignment="1">
      <alignment vertical="center" wrapText="1"/>
    </xf>
    <xf numFmtId="0" fontId="10" fillId="0" borderId="77" xfId="0" applyFont="1" applyBorder="1" applyAlignment="1">
      <alignment horizontal="left" wrapText="1"/>
    </xf>
    <xf numFmtId="0" fontId="10" fillId="0" borderId="65" xfId="0" applyFont="1" applyBorder="1" applyAlignment="1">
      <alignment horizontal="left" wrapText="1"/>
    </xf>
    <xf numFmtId="0" fontId="10" fillId="0" borderId="66" xfId="0" applyFont="1" applyBorder="1" applyAlignment="1">
      <alignment horizontal="left" wrapText="1"/>
    </xf>
    <xf numFmtId="0" fontId="10" fillId="0" borderId="59" xfId="0" applyFont="1" applyBorder="1" applyAlignment="1">
      <alignment horizontal="left" wrapText="1"/>
    </xf>
    <xf numFmtId="0" fontId="10" fillId="0" borderId="66" xfId="0" applyFont="1" applyBorder="1" applyAlignment="1">
      <alignment horizontal="center" vertical="center"/>
    </xf>
    <xf numFmtId="0" fontId="10" fillId="0" borderId="59" xfId="0" applyFont="1" applyBorder="1" applyAlignment="1">
      <alignment horizontal="center" vertical="center"/>
    </xf>
    <xf numFmtId="0" fontId="8" fillId="0" borderId="10" xfId="35" applyBorder="1" applyAlignment="1" applyProtection="1">
      <alignment horizontal="left"/>
    </xf>
    <xf numFmtId="0" fontId="8" fillId="0" borderId="0" xfId="35" applyBorder="1" applyAlignment="1" applyProtection="1">
      <alignment horizontal="left"/>
    </xf>
    <xf numFmtId="0" fontId="0" fillId="0" borderId="0" xfId="0" applyBorder="1" applyAlignment="1">
      <alignment horizontal="left"/>
    </xf>
    <xf numFmtId="0" fontId="31" fillId="24" borderId="80" xfId="40" applyFont="1" applyFill="1" applyBorder="1" applyAlignment="1">
      <alignment horizontal="center" vertical="center" wrapText="1"/>
    </xf>
    <xf numFmtId="0" fontId="31" fillId="24" borderId="44" xfId="40" applyFont="1" applyFill="1" applyBorder="1" applyAlignment="1">
      <alignment horizontal="center" vertical="center" wrapText="1"/>
    </xf>
    <xf numFmtId="0" fontId="31" fillId="24" borderId="45" xfId="40" applyFont="1" applyFill="1" applyBorder="1" applyAlignment="1">
      <alignment horizontal="center" vertical="center" wrapText="1"/>
    </xf>
    <xf numFmtId="0" fontId="31" fillId="25" borderId="80" xfId="40" applyFont="1" applyFill="1" applyBorder="1" applyAlignment="1">
      <alignment horizontal="center" vertical="center" wrapText="1"/>
    </xf>
    <xf numFmtId="0" fontId="31" fillId="25" borderId="44" xfId="40" applyFont="1" applyFill="1" applyBorder="1" applyAlignment="1">
      <alignment horizontal="center" vertical="center" wrapText="1"/>
    </xf>
    <xf numFmtId="0" fontId="31" fillId="25" borderId="45" xfId="40" applyFont="1" applyFill="1" applyBorder="1" applyAlignment="1">
      <alignment horizontal="center" vertical="center" wrapText="1"/>
    </xf>
    <xf numFmtId="0" fontId="35" fillId="0" borderId="75" xfId="40" applyFont="1" applyFill="1" applyBorder="1" applyAlignment="1">
      <alignment horizontal="center" vertical="center" wrapText="1"/>
    </xf>
    <xf numFmtId="0" fontId="35" fillId="0" borderId="54" xfId="40" applyFont="1" applyFill="1" applyBorder="1" applyAlignment="1">
      <alignment horizontal="center" vertical="center" wrapText="1"/>
    </xf>
    <xf numFmtId="0" fontId="35" fillId="0" borderId="72" xfId="40" applyFont="1" applyFill="1" applyBorder="1" applyAlignment="1">
      <alignment horizontal="center" vertical="center" wrapText="1"/>
    </xf>
    <xf numFmtId="9" fontId="6" fillId="0" borderId="81" xfId="43" applyFont="1" applyBorder="1" applyAlignment="1">
      <alignment horizontal="center"/>
    </xf>
    <xf numFmtId="9" fontId="6" fillId="0" borderId="53" xfId="43" applyFont="1" applyBorder="1" applyAlignment="1">
      <alignment horizontal="center"/>
    </xf>
    <xf numFmtId="9" fontId="6" fillId="0" borderId="19" xfId="43" applyFont="1" applyBorder="1" applyAlignment="1">
      <alignment horizontal="center"/>
    </xf>
    <xf numFmtId="9" fontId="6" fillId="0" borderId="36" xfId="43" applyFont="1" applyBorder="1" applyAlignment="1">
      <alignment horizontal="center"/>
    </xf>
    <xf numFmtId="0" fontId="0" fillId="0" borderId="0" xfId="0" applyAlignment="1">
      <alignment horizontal="center"/>
    </xf>
    <xf numFmtId="0" fontId="6" fillId="0" borderId="36" xfId="0" applyFont="1" applyBorder="1" applyAlignment="1">
      <alignment horizontal="center"/>
    </xf>
    <xf numFmtId="0" fontId="6" fillId="0" borderId="53" xfId="0" applyFont="1" applyBorder="1" applyAlignment="1">
      <alignment horizontal="center"/>
    </xf>
    <xf numFmtId="0" fontId="6" fillId="0" borderId="71" xfId="0" applyFont="1" applyBorder="1" applyAlignment="1">
      <alignment horizontal="center"/>
    </xf>
    <xf numFmtId="0" fontId="6" fillId="0" borderId="81" xfId="0" applyFont="1" applyBorder="1" applyAlignment="1">
      <alignment horizontal="center"/>
    </xf>
    <xf numFmtId="0" fontId="6" fillId="0" borderId="19" xfId="0" applyFont="1" applyBorder="1" applyAlignment="1">
      <alignment horizontal="center"/>
    </xf>
    <xf numFmtId="0" fontId="6" fillId="0" borderId="11" xfId="0" applyFont="1" applyBorder="1" applyAlignment="1">
      <alignment horizontal="center"/>
    </xf>
    <xf numFmtId="0" fontId="6" fillId="0" borderId="30" xfId="0" applyFont="1" applyBorder="1" applyAlignment="1">
      <alignment horizontal="center"/>
    </xf>
    <xf numFmtId="0" fontId="6" fillId="0" borderId="8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80" xfId="0" quotePrefix="1" applyFont="1" applyBorder="1" applyAlignment="1">
      <alignment horizontal="center"/>
    </xf>
    <xf numFmtId="0" fontId="0" fillId="0" borderId="44" xfId="0" applyBorder="1" applyAlignment="1"/>
    <xf numFmtId="0" fontId="0" fillId="0" borderId="45" xfId="0" applyBorder="1" applyAlignment="1"/>
    <xf numFmtId="0" fontId="6" fillId="0" borderId="60" xfId="0" applyFont="1" applyBorder="1" applyAlignment="1">
      <alignment horizontal="center"/>
    </xf>
    <xf numFmtId="0" fontId="6" fillId="0" borderId="67" xfId="0" applyFont="1" applyBorder="1" applyAlignment="1">
      <alignment horizontal="center"/>
    </xf>
    <xf numFmtId="0" fontId="6" fillId="0" borderId="98" xfId="0" applyFont="1" applyBorder="1" applyAlignment="1">
      <alignment horizontal="center"/>
    </xf>
    <xf numFmtId="0" fontId="6" fillId="0" borderId="82" xfId="0" applyFont="1" applyBorder="1" applyAlignment="1">
      <alignment horizontal="center"/>
    </xf>
    <xf numFmtId="0" fontId="0" fillId="0" borderId="44" xfId="0" applyBorder="1" applyAlignment="1">
      <alignment horizontal="center"/>
    </xf>
    <xf numFmtId="3" fontId="6" fillId="0" borderId="11" xfId="0" applyNumberFormat="1" applyFont="1" applyBorder="1" applyAlignment="1">
      <alignment horizontal="center"/>
    </xf>
    <xf numFmtId="0" fontId="6" fillId="0" borderId="39" xfId="0" applyFont="1" applyBorder="1" applyAlignment="1">
      <alignment vertical="center" wrapText="1"/>
    </xf>
    <xf numFmtId="0" fontId="6" fillId="0" borderId="16" xfId="0" applyFont="1" applyBorder="1" applyAlignment="1">
      <alignment vertical="center" wrapText="1"/>
    </xf>
    <xf numFmtId="0" fontId="6" fillId="0" borderId="55" xfId="0" applyFont="1" applyBorder="1" applyAlignment="1">
      <alignment horizontal="center"/>
    </xf>
    <xf numFmtId="0" fontId="6" fillId="0" borderId="56" xfId="0" applyFont="1" applyBorder="1" applyAlignment="1">
      <alignment horizontal="center"/>
    </xf>
    <xf numFmtId="0" fontId="6" fillId="0" borderId="59" xfId="0" applyFont="1" applyBorder="1" applyAlignment="1">
      <alignment horizontal="center"/>
    </xf>
    <xf numFmtId="0" fontId="50" fillId="0" borderId="0" xfId="0" applyFont="1" applyAlignment="1">
      <alignment wrapText="1"/>
    </xf>
    <xf numFmtId="0" fontId="51" fillId="0" borderId="0" xfId="0" applyFont="1" applyAlignment="1">
      <alignment wrapText="1"/>
    </xf>
    <xf numFmtId="0" fontId="6" fillId="0" borderId="0" xfId="0" applyFont="1" applyAlignment="1">
      <alignment wrapText="1"/>
    </xf>
    <xf numFmtId="0" fontId="104" fillId="0" borderId="0" xfId="0" applyFont="1"/>
  </cellXfs>
  <cellStyles count="968">
    <cellStyle name="20% - Accent1" xfId="1" builtinId="30" customBuiltin="1"/>
    <cellStyle name="20% - Accent1 2" xfId="95"/>
    <cellStyle name="20% - Accent1 2 2" xfId="104"/>
    <cellStyle name="20% - Accent1 3" xfId="92"/>
    <cellStyle name="20% - Accent1 3 2" xfId="407"/>
    <cellStyle name="20% - Accent1 3 2 2" xfId="743"/>
    <cellStyle name="20% - Accent1 3 3" xfId="518"/>
    <cellStyle name="20% - Accent1 3 3 2" xfId="852"/>
    <cellStyle name="20% - Accent1 3 4" xfId="634"/>
    <cellStyle name="20% - Accent1 4" xfId="362"/>
    <cellStyle name="20% - Accent1 4 2" xfId="489"/>
    <cellStyle name="20% - Accent1 4 2 2" xfId="824"/>
    <cellStyle name="20% - Accent1 4 3" xfId="599"/>
    <cellStyle name="20% - Accent1 4 3 2" xfId="933"/>
    <cellStyle name="20% - Accent1 4 4" xfId="715"/>
    <cellStyle name="20% - Accent1 5" xfId="393"/>
    <cellStyle name="20% - Accent1 5 2" xfId="729"/>
    <cellStyle name="20% - Accent1 6" xfId="504"/>
    <cellStyle name="20% - Accent1 6 2" xfId="838"/>
    <cellStyle name="20% - Accent1 7" xfId="66"/>
    <cellStyle name="20% - Accent1 7 2" xfId="947"/>
    <cellStyle name="20% - Accent1 8" xfId="620"/>
    <cellStyle name="20% - Accent2" xfId="2" builtinId="34" customBuiltin="1"/>
    <cellStyle name="20% - Accent2 2" xfId="100"/>
    <cellStyle name="20% - Accent2 2 2" xfId="101"/>
    <cellStyle name="20% - Accent2 3" xfId="96"/>
    <cellStyle name="20% - Accent2 3 2" xfId="408"/>
    <cellStyle name="20% - Accent2 3 2 2" xfId="744"/>
    <cellStyle name="20% - Accent2 3 3" xfId="519"/>
    <cellStyle name="20% - Accent2 3 3 2" xfId="853"/>
    <cellStyle name="20% - Accent2 3 4" xfId="635"/>
    <cellStyle name="20% - Accent2 4" xfId="366"/>
    <cellStyle name="20% - Accent2 4 2" xfId="491"/>
    <cellStyle name="20% - Accent2 4 2 2" xfId="826"/>
    <cellStyle name="20% - Accent2 4 3" xfId="601"/>
    <cellStyle name="20% - Accent2 4 3 2" xfId="935"/>
    <cellStyle name="20% - Accent2 4 4" xfId="717"/>
    <cellStyle name="20% - Accent2 5" xfId="395"/>
    <cellStyle name="20% - Accent2 5 2" xfId="731"/>
    <cellStyle name="20% - Accent2 6" xfId="506"/>
    <cellStyle name="20% - Accent2 6 2" xfId="840"/>
    <cellStyle name="20% - Accent2 7" xfId="70"/>
    <cellStyle name="20% - Accent2 7 2" xfId="949"/>
    <cellStyle name="20% - Accent2 8" xfId="622"/>
    <cellStyle name="20% - Accent3" xfId="3" builtinId="38" customBuiltin="1"/>
    <cellStyle name="20% - Accent3 2" xfId="91"/>
    <cellStyle name="20% - Accent3 2 2" xfId="93"/>
    <cellStyle name="20% - Accent3 3" xfId="89"/>
    <cellStyle name="20% - Accent3 3 2" xfId="405"/>
    <cellStyle name="20% - Accent3 3 2 2" xfId="741"/>
    <cellStyle name="20% - Accent3 3 3" xfId="516"/>
    <cellStyle name="20% - Accent3 3 3 2" xfId="850"/>
    <cellStyle name="20% - Accent3 3 4" xfId="632"/>
    <cellStyle name="20% - Accent3 4" xfId="370"/>
    <cellStyle name="20% - Accent3 4 2" xfId="493"/>
    <cellStyle name="20% - Accent3 4 2 2" xfId="828"/>
    <cellStyle name="20% - Accent3 4 3" xfId="603"/>
    <cellStyle name="20% - Accent3 4 3 2" xfId="937"/>
    <cellStyle name="20% - Accent3 4 4" xfId="719"/>
    <cellStyle name="20% - Accent3 5" xfId="397"/>
    <cellStyle name="20% - Accent3 5 2" xfId="733"/>
    <cellStyle name="20% - Accent3 6" xfId="508"/>
    <cellStyle name="20% - Accent3 6 2" xfId="842"/>
    <cellStyle name="20% - Accent3 7" xfId="74"/>
    <cellStyle name="20% - Accent3 7 2" xfId="951"/>
    <cellStyle name="20% - Accent3 8" xfId="624"/>
    <cellStyle name="20% - Accent4" xfId="4" builtinId="42" customBuiltin="1"/>
    <cellStyle name="20% - Accent4 2" xfId="102"/>
    <cellStyle name="20% - Accent4 2 2" xfId="97"/>
    <cellStyle name="20% - Accent4 3" xfId="90"/>
    <cellStyle name="20% - Accent4 3 2" xfId="406"/>
    <cellStyle name="20% - Accent4 3 2 2" xfId="742"/>
    <cellStyle name="20% - Accent4 3 3" xfId="517"/>
    <cellStyle name="20% - Accent4 3 3 2" xfId="851"/>
    <cellStyle name="20% - Accent4 3 4" xfId="633"/>
    <cellStyle name="20% - Accent4 4" xfId="374"/>
    <cellStyle name="20% - Accent4 4 2" xfId="495"/>
    <cellStyle name="20% - Accent4 4 2 2" xfId="830"/>
    <cellStyle name="20% - Accent4 4 3" xfId="605"/>
    <cellStyle name="20% - Accent4 4 3 2" xfId="939"/>
    <cellStyle name="20% - Accent4 4 4" xfId="721"/>
    <cellStyle name="20% - Accent4 5" xfId="399"/>
    <cellStyle name="20% - Accent4 5 2" xfId="735"/>
    <cellStyle name="20% - Accent4 6" xfId="510"/>
    <cellStyle name="20% - Accent4 6 2" xfId="844"/>
    <cellStyle name="20% - Accent4 7" xfId="78"/>
    <cellStyle name="20% - Accent4 7 2" xfId="953"/>
    <cellStyle name="20% - Accent4 8" xfId="626"/>
    <cellStyle name="20% - Accent5" xfId="5" builtinId="46" customBuiltin="1"/>
    <cellStyle name="20% - Accent5 2" xfId="98"/>
    <cellStyle name="20% - Accent5 2 2" xfId="94"/>
    <cellStyle name="20% - Accent5 3" xfId="378"/>
    <cellStyle name="20% - Accent5 3 2" xfId="497"/>
    <cellStyle name="20% - Accent5 3 2 2" xfId="832"/>
    <cellStyle name="20% - Accent5 3 3" xfId="607"/>
    <cellStyle name="20% - Accent5 3 3 2" xfId="941"/>
    <cellStyle name="20% - Accent5 3 4" xfId="723"/>
    <cellStyle name="20% - Accent5 4" xfId="401"/>
    <cellStyle name="20% - Accent5 4 2" xfId="737"/>
    <cellStyle name="20% - Accent5 5" xfId="512"/>
    <cellStyle name="20% - Accent5 5 2" xfId="846"/>
    <cellStyle name="20% - Accent5 6" xfId="82"/>
    <cellStyle name="20% - Accent5 6 2" xfId="955"/>
    <cellStyle name="20% - Accent5 7" xfId="628"/>
    <cellStyle name="20% - Accent6" xfId="6" builtinId="50" customBuiltin="1"/>
    <cellStyle name="20% - Accent6 2" xfId="99"/>
    <cellStyle name="20% - Accent6 2 2" xfId="116"/>
    <cellStyle name="20% - Accent6 3" xfId="382"/>
    <cellStyle name="20% - Accent6 3 2" xfId="499"/>
    <cellStyle name="20% - Accent6 3 2 2" xfId="834"/>
    <cellStyle name="20% - Accent6 3 3" xfId="609"/>
    <cellStyle name="20% - Accent6 3 3 2" xfId="943"/>
    <cellStyle name="20% - Accent6 3 4" xfId="725"/>
    <cellStyle name="20% - Accent6 4" xfId="403"/>
    <cellStyle name="20% - Accent6 4 2" xfId="739"/>
    <cellStyle name="20% - Accent6 5" xfId="514"/>
    <cellStyle name="20% - Accent6 5 2" xfId="848"/>
    <cellStyle name="20% - Accent6 6" xfId="86"/>
    <cellStyle name="20% - Accent6 6 2" xfId="957"/>
    <cellStyle name="20% - Accent6 7" xfId="630"/>
    <cellStyle name="40% - Accent1" xfId="7" builtinId="31" customBuiltin="1"/>
    <cellStyle name="40% - Accent1 2" xfId="109"/>
    <cellStyle name="40% - Accent1 2 2" xfId="124"/>
    <cellStyle name="40% - Accent1 3" xfId="118"/>
    <cellStyle name="40% - Accent1 3 2" xfId="412"/>
    <cellStyle name="40% - Accent1 3 2 2" xfId="748"/>
    <cellStyle name="40% - Accent1 3 3" xfId="523"/>
    <cellStyle name="40% - Accent1 3 3 2" xfId="857"/>
    <cellStyle name="40% - Accent1 3 4" xfId="639"/>
    <cellStyle name="40% - Accent1 4" xfId="363"/>
    <cellStyle name="40% - Accent1 4 2" xfId="490"/>
    <cellStyle name="40% - Accent1 4 2 2" xfId="825"/>
    <cellStyle name="40% - Accent1 4 3" xfId="600"/>
    <cellStyle name="40% - Accent1 4 3 2" xfId="934"/>
    <cellStyle name="40% - Accent1 4 4" xfId="716"/>
    <cellStyle name="40% - Accent1 5" xfId="394"/>
    <cellStyle name="40% - Accent1 5 2" xfId="730"/>
    <cellStyle name="40% - Accent1 6" xfId="505"/>
    <cellStyle name="40% - Accent1 6 2" xfId="839"/>
    <cellStyle name="40% - Accent1 7" xfId="67"/>
    <cellStyle name="40% - Accent1 7 2" xfId="948"/>
    <cellStyle name="40% - Accent1 8" xfId="621"/>
    <cellStyle name="40% - Accent2" xfId="8" builtinId="35" customBuiltin="1"/>
    <cellStyle name="40% - Accent2 2" xfId="123"/>
    <cellStyle name="40% - Accent2 2 2" xfId="105"/>
    <cellStyle name="40% - Accent2 3" xfId="367"/>
    <cellStyle name="40% - Accent2 3 2" xfId="492"/>
    <cellStyle name="40% - Accent2 3 2 2" xfId="827"/>
    <cellStyle name="40% - Accent2 3 3" xfId="602"/>
    <cellStyle name="40% - Accent2 3 3 2" xfId="936"/>
    <cellStyle name="40% - Accent2 3 4" xfId="718"/>
    <cellStyle name="40% - Accent2 4" xfId="396"/>
    <cellStyle name="40% - Accent2 4 2" xfId="732"/>
    <cellStyle name="40% - Accent2 5" xfId="507"/>
    <cellStyle name="40% - Accent2 5 2" xfId="841"/>
    <cellStyle name="40% - Accent2 6" xfId="71"/>
    <cellStyle name="40% - Accent2 6 2" xfId="950"/>
    <cellStyle name="40% - Accent2 7" xfId="623"/>
    <cellStyle name="40% - Accent3" xfId="9" builtinId="39" customBuiltin="1"/>
    <cellStyle name="40% - Accent3 2" xfId="120"/>
    <cellStyle name="40% - Accent3 2 2" xfId="113"/>
    <cellStyle name="40% - Accent3 3" xfId="107"/>
    <cellStyle name="40% - Accent3 3 2" xfId="409"/>
    <cellStyle name="40% - Accent3 3 2 2" xfId="745"/>
    <cellStyle name="40% - Accent3 3 3" xfId="520"/>
    <cellStyle name="40% - Accent3 3 3 2" xfId="854"/>
    <cellStyle name="40% - Accent3 3 4" xfId="636"/>
    <cellStyle name="40% - Accent3 4" xfId="371"/>
    <cellStyle name="40% - Accent3 4 2" xfId="494"/>
    <cellStyle name="40% - Accent3 4 2 2" xfId="829"/>
    <cellStyle name="40% - Accent3 4 3" xfId="604"/>
    <cellStyle name="40% - Accent3 4 3 2" xfId="938"/>
    <cellStyle name="40% - Accent3 4 4" xfId="720"/>
    <cellStyle name="40% - Accent3 5" xfId="398"/>
    <cellStyle name="40% - Accent3 5 2" xfId="734"/>
    <cellStyle name="40% - Accent3 6" xfId="509"/>
    <cellStyle name="40% - Accent3 6 2" xfId="843"/>
    <cellStyle name="40% - Accent3 7" xfId="75"/>
    <cellStyle name="40% - Accent3 7 2" xfId="952"/>
    <cellStyle name="40% - Accent3 8" xfId="625"/>
    <cellStyle name="40% - Accent4" xfId="10" builtinId="43" customBuiltin="1"/>
    <cellStyle name="40% - Accent4 2" xfId="122"/>
    <cellStyle name="40% - Accent4 2 2" xfId="111"/>
    <cellStyle name="40% - Accent4 3" xfId="108"/>
    <cellStyle name="40% - Accent4 3 2" xfId="410"/>
    <cellStyle name="40% - Accent4 3 2 2" xfId="746"/>
    <cellStyle name="40% - Accent4 3 3" xfId="521"/>
    <cellStyle name="40% - Accent4 3 3 2" xfId="855"/>
    <cellStyle name="40% - Accent4 3 4" xfId="637"/>
    <cellStyle name="40% - Accent4 4" xfId="375"/>
    <cellStyle name="40% - Accent4 4 2" xfId="496"/>
    <cellStyle name="40% - Accent4 4 2 2" xfId="831"/>
    <cellStyle name="40% - Accent4 4 3" xfId="606"/>
    <cellStyle name="40% - Accent4 4 3 2" xfId="940"/>
    <cellStyle name="40% - Accent4 4 4" xfId="722"/>
    <cellStyle name="40% - Accent4 5" xfId="400"/>
    <cellStyle name="40% - Accent4 5 2" xfId="736"/>
    <cellStyle name="40% - Accent4 6" xfId="511"/>
    <cellStyle name="40% - Accent4 6 2" xfId="845"/>
    <cellStyle name="40% - Accent4 7" xfId="79"/>
    <cellStyle name="40% - Accent4 7 2" xfId="954"/>
    <cellStyle name="40% - Accent4 8" xfId="627"/>
    <cellStyle name="40% - Accent5" xfId="11" builtinId="47" customBuiltin="1"/>
    <cellStyle name="40% - Accent5 2" xfId="117"/>
    <cellStyle name="40% - Accent5 2 2" xfId="110"/>
    <cellStyle name="40% - Accent5 3" xfId="379"/>
    <cellStyle name="40% - Accent5 3 2" xfId="498"/>
    <cellStyle name="40% - Accent5 3 2 2" xfId="833"/>
    <cellStyle name="40% - Accent5 3 3" xfId="608"/>
    <cellStyle name="40% - Accent5 3 3 2" xfId="942"/>
    <cellStyle name="40% - Accent5 3 4" xfId="724"/>
    <cellStyle name="40% - Accent5 4" xfId="402"/>
    <cellStyle name="40% - Accent5 4 2" xfId="738"/>
    <cellStyle name="40% - Accent5 5" xfId="513"/>
    <cellStyle name="40% - Accent5 5 2" xfId="847"/>
    <cellStyle name="40% - Accent5 6" xfId="83"/>
    <cellStyle name="40% - Accent5 6 2" xfId="956"/>
    <cellStyle name="40% - Accent5 7" xfId="629"/>
    <cellStyle name="40% - Accent6" xfId="12" builtinId="51" customBuiltin="1"/>
    <cellStyle name="40% - Accent6 2" xfId="125"/>
    <cellStyle name="40% - Accent6 2 2" xfId="115"/>
    <cellStyle name="40% - Accent6 3" xfId="112"/>
    <cellStyle name="40% - Accent6 3 2" xfId="411"/>
    <cellStyle name="40% - Accent6 3 2 2" xfId="747"/>
    <cellStyle name="40% - Accent6 3 3" xfId="522"/>
    <cellStyle name="40% - Accent6 3 3 2" xfId="856"/>
    <cellStyle name="40% - Accent6 3 4" xfId="638"/>
    <cellStyle name="40% - Accent6 4" xfId="383"/>
    <cellStyle name="40% - Accent6 4 2" xfId="500"/>
    <cellStyle name="40% - Accent6 4 2 2" xfId="835"/>
    <cellStyle name="40% - Accent6 4 3" xfId="610"/>
    <cellStyle name="40% - Accent6 4 3 2" xfId="944"/>
    <cellStyle name="40% - Accent6 4 4" xfId="726"/>
    <cellStyle name="40% - Accent6 5" xfId="404"/>
    <cellStyle name="40% - Accent6 5 2" xfId="740"/>
    <cellStyle name="40% - Accent6 6" xfId="515"/>
    <cellStyle name="40% - Accent6 6 2" xfId="849"/>
    <cellStyle name="40% - Accent6 7" xfId="87"/>
    <cellStyle name="40% - Accent6 7 2" xfId="958"/>
    <cellStyle name="40% - Accent6 8" xfId="631"/>
    <cellStyle name="60% - Accent1" xfId="13" builtinId="32" customBuiltin="1"/>
    <cellStyle name="60% - Accent1 2" xfId="106"/>
    <cellStyle name="60% - Accent1 2 2" xfId="121"/>
    <cellStyle name="60% - Accent1 3" xfId="114"/>
    <cellStyle name="60% - Accent1 4" xfId="364"/>
    <cellStyle name="60% - Accent1 5" xfId="68"/>
    <cellStyle name="60% - Accent2" xfId="14" builtinId="36" customBuiltin="1"/>
    <cellStyle name="60% - Accent2 2" xfId="119"/>
    <cellStyle name="60% - Accent2 2 2" xfId="126"/>
    <cellStyle name="60% - Accent2 3" xfId="368"/>
    <cellStyle name="60% - Accent2 4" xfId="72"/>
    <cellStyle name="60% - Accent3" xfId="15" builtinId="40" customBuiltin="1"/>
    <cellStyle name="60% - Accent3 2" xfId="127"/>
    <cellStyle name="60% - Accent3 2 2" xfId="128"/>
    <cellStyle name="60% - Accent3 3" xfId="129"/>
    <cellStyle name="60% - Accent3 4" xfId="372"/>
    <cellStyle name="60% - Accent3 5" xfId="76"/>
    <cellStyle name="60% - Accent4" xfId="16" builtinId="44" customBuiltin="1"/>
    <cellStyle name="60% - Accent4 2" xfId="130"/>
    <cellStyle name="60% - Accent4 2 2" xfId="131"/>
    <cellStyle name="60% - Accent4 3" xfId="132"/>
    <cellStyle name="60% - Accent4 4" xfId="376"/>
    <cellStyle name="60% - Accent4 5" xfId="80"/>
    <cellStyle name="60% - Accent5" xfId="17" builtinId="48" customBuiltin="1"/>
    <cellStyle name="60% - Accent5 2" xfId="133"/>
    <cellStyle name="60% - Accent5 2 2" xfId="134"/>
    <cellStyle name="60% - Accent5 3" xfId="380"/>
    <cellStyle name="60% - Accent5 4" xfId="84"/>
    <cellStyle name="60% - Accent6" xfId="18" builtinId="52" customBuiltin="1"/>
    <cellStyle name="60% - Accent6 2" xfId="135"/>
    <cellStyle name="60% - Accent6 2 2" xfId="136"/>
    <cellStyle name="60% - Accent6 3" xfId="137"/>
    <cellStyle name="60% - Accent6 4" xfId="384"/>
    <cellStyle name="60% - Accent6 5" xfId="88"/>
    <cellStyle name="Accent1" xfId="19" builtinId="29" customBuiltin="1"/>
    <cellStyle name="Accent1 2" xfId="138"/>
    <cellStyle name="Accent1 2 2" xfId="139"/>
    <cellStyle name="Accent1 3" xfId="140"/>
    <cellStyle name="Accent1 4" xfId="361"/>
    <cellStyle name="Accent1 5" xfId="65"/>
    <cellStyle name="Accent2" xfId="20" builtinId="33" customBuiltin="1"/>
    <cellStyle name="Accent2 2" xfId="141"/>
    <cellStyle name="Accent2 2 2" xfId="142"/>
    <cellStyle name="Accent2 3" xfId="143"/>
    <cellStyle name="Accent2 4" xfId="365"/>
    <cellStyle name="Accent2 5" xfId="69"/>
    <cellStyle name="Accent3" xfId="21" builtinId="37" customBuiltin="1"/>
    <cellStyle name="Accent3 2" xfId="144"/>
    <cellStyle name="Accent3 2 2" xfId="145"/>
    <cellStyle name="Accent3 3" xfId="146"/>
    <cellStyle name="Accent3 4" xfId="369"/>
    <cellStyle name="Accent3 5" xfId="73"/>
    <cellStyle name="Accent4" xfId="22" builtinId="41" customBuiltin="1"/>
    <cellStyle name="Accent4 2" xfId="147"/>
    <cellStyle name="Accent4 2 2" xfId="148"/>
    <cellStyle name="Accent4 3" xfId="149"/>
    <cellStyle name="Accent4 4" xfId="373"/>
    <cellStyle name="Accent4 5" xfId="77"/>
    <cellStyle name="Accent5" xfId="23" builtinId="45" customBuiltin="1"/>
    <cellStyle name="Accent5 2" xfId="150"/>
    <cellStyle name="Accent5 2 2" xfId="151"/>
    <cellStyle name="Accent5 3" xfId="377"/>
    <cellStyle name="Accent5 4" xfId="81"/>
    <cellStyle name="Accent6" xfId="24" builtinId="49" customBuiltin="1"/>
    <cellStyle name="Accent6 2" xfId="152"/>
    <cellStyle name="Accent6 2 2" xfId="153"/>
    <cellStyle name="Accent6 3" xfId="381"/>
    <cellStyle name="Accent6 4" xfId="85"/>
    <cellStyle name="Bad" xfId="25" builtinId="27" customBuiltin="1"/>
    <cellStyle name="Bad 2" xfId="154"/>
    <cellStyle name="Bad 2 2" xfId="155"/>
    <cellStyle name="Bad 3" xfId="156"/>
    <cellStyle name="Bad 4" xfId="350"/>
    <cellStyle name="Bad 5" xfId="54"/>
    <cellStyle name="Calculation" xfId="26" builtinId="22" customBuiltin="1"/>
    <cellStyle name="Calculation 2" xfId="157"/>
    <cellStyle name="Calculation 2 2" xfId="158"/>
    <cellStyle name="Calculation 2 3" xfId="159"/>
    <cellStyle name="Calculation 3" xfId="160"/>
    <cellStyle name="Calculation 4" xfId="354"/>
    <cellStyle name="Calculation 5" xfId="58"/>
    <cellStyle name="Check Cell" xfId="27" builtinId="23" customBuiltin="1"/>
    <cellStyle name="Check Cell 2" xfId="161"/>
    <cellStyle name="Check Cell 2 2" xfId="162"/>
    <cellStyle name="Check Cell 3" xfId="356"/>
    <cellStyle name="Check Cell 4" xfId="60"/>
    <cellStyle name="Comma" xfId="28" builtinId="3"/>
    <cellStyle name="Comma 2" xfId="163"/>
    <cellStyle name="Comma 3" xfId="164"/>
    <cellStyle name="Comma 4" xfId="165"/>
    <cellStyle name="Comma 5" xfId="166"/>
    <cellStyle name="Comma 6" xfId="167"/>
    <cellStyle name="Comma 7" xfId="168"/>
    <cellStyle name="Comma 8" xfId="341"/>
    <cellStyle name="Comma 8 2" xfId="501"/>
    <cellStyle name="Comma 8 3" xfId="486"/>
    <cellStyle name="Comma 8 4" xfId="617"/>
    <cellStyle name="Comma 8 4 2" xfId="965"/>
    <cellStyle name="Currency 2" xfId="169"/>
    <cellStyle name="Currency 2 2" xfId="170"/>
    <cellStyle name="Explanatory Text" xfId="29" builtinId="53" customBuiltin="1"/>
    <cellStyle name="Explanatory Text 2" xfId="171"/>
    <cellStyle name="Explanatory Text 2 2" xfId="172"/>
    <cellStyle name="Explanatory Text 3" xfId="359"/>
    <cellStyle name="Explanatory Text 4" xfId="63"/>
    <cellStyle name="Good" xfId="30" builtinId="26" customBuiltin="1"/>
    <cellStyle name="Good 2" xfId="173"/>
    <cellStyle name="Good 2 2" xfId="174"/>
    <cellStyle name="Good 3" xfId="349"/>
    <cellStyle name="Good 4" xfId="53"/>
    <cellStyle name="Heading 1" xfId="31" builtinId="16" customBuiltin="1"/>
    <cellStyle name="Heading 1 2" xfId="175"/>
    <cellStyle name="Heading 1 2 2" xfId="176"/>
    <cellStyle name="Heading 1 3" xfId="177"/>
    <cellStyle name="Heading 1 4" xfId="345"/>
    <cellStyle name="Heading 1 5" xfId="49"/>
    <cellStyle name="Heading 2" xfId="32" builtinId="17" customBuiltin="1"/>
    <cellStyle name="Heading 2 2" xfId="178"/>
    <cellStyle name="Heading 2 2 2" xfId="179"/>
    <cellStyle name="Heading 2 3" xfId="180"/>
    <cellStyle name="Heading 2 4" xfId="346"/>
    <cellStyle name="Heading 2 5" xfId="50"/>
    <cellStyle name="Heading 3" xfId="33" builtinId="18" customBuiltin="1"/>
    <cellStyle name="Heading 3 2" xfId="181"/>
    <cellStyle name="Heading 3 2 2" xfId="182"/>
    <cellStyle name="Heading 3 3" xfId="183"/>
    <cellStyle name="Heading 3 4" xfId="347"/>
    <cellStyle name="Heading 3 5" xfId="51"/>
    <cellStyle name="Heading 4" xfId="34" builtinId="19" customBuiltin="1"/>
    <cellStyle name="Heading 4 2" xfId="184"/>
    <cellStyle name="Heading 4 2 2" xfId="185"/>
    <cellStyle name="Heading 4 3" xfId="186"/>
    <cellStyle name="Heading 4 4" xfId="348"/>
    <cellStyle name="Heading 4 5" xfId="52"/>
    <cellStyle name="Hyperlink" xfId="35" builtinId="8"/>
    <cellStyle name="Hyperlink 2" xfId="187"/>
    <cellStyle name="Hyperlink 2 2" xfId="188"/>
    <cellStyle name="Hyperlink 2 3" xfId="189"/>
    <cellStyle name="Hyperlink 2 4" xfId="190"/>
    <cellStyle name="Hyperlink 3" xfId="191"/>
    <cellStyle name="Hyperlink 4" xfId="192"/>
    <cellStyle name="Hyperlink 5" xfId="193"/>
    <cellStyle name="Hyperlink 6" xfId="390"/>
    <cellStyle name="Input" xfId="36" builtinId="20" customBuiltin="1"/>
    <cellStyle name="Input 2" xfId="194"/>
    <cellStyle name="Input 2 2" xfId="195"/>
    <cellStyle name="Input 2 3" xfId="196"/>
    <cellStyle name="Input 3" xfId="352"/>
    <cellStyle name="Input 4" xfId="56"/>
    <cellStyle name="Linked Cell" xfId="37" builtinId="24" customBuiltin="1"/>
    <cellStyle name="Linked Cell 2" xfId="197"/>
    <cellStyle name="Linked Cell 2 2" xfId="198"/>
    <cellStyle name="Linked Cell 3" xfId="355"/>
    <cellStyle name="Linked Cell 4" xfId="59"/>
    <cellStyle name="Neutral" xfId="38" builtinId="28" customBuiltin="1"/>
    <cellStyle name="Neutral 2" xfId="199"/>
    <cellStyle name="Neutral 2 2" xfId="200"/>
    <cellStyle name="Neutral 3" xfId="351"/>
    <cellStyle name="Neutral 4" xfId="55"/>
    <cellStyle name="Normal" xfId="0" builtinId="0"/>
    <cellStyle name="Normal 10" xfId="201"/>
    <cellStyle name="Normal 10 2" xfId="202"/>
    <cellStyle name="Normal 10 2 2" xfId="414"/>
    <cellStyle name="Normal 10 2 2 2" xfId="750"/>
    <cellStyle name="Normal 10 2 3" xfId="525"/>
    <cellStyle name="Normal 10 2 3 2" xfId="859"/>
    <cellStyle name="Normal 10 2 4" xfId="641"/>
    <cellStyle name="Normal 10 3" xfId="203"/>
    <cellStyle name="Normal 10 3 2" xfId="415"/>
    <cellStyle name="Normal 10 3 2 2" xfId="751"/>
    <cellStyle name="Normal 10 3 3" xfId="526"/>
    <cellStyle name="Normal 10 3 3 2" xfId="860"/>
    <cellStyle name="Normal 10 3 4" xfId="642"/>
    <cellStyle name="Normal 10 4" xfId="204"/>
    <cellStyle name="Normal 10 4 2" xfId="416"/>
    <cellStyle name="Normal 10 4 2 2" xfId="752"/>
    <cellStyle name="Normal 10 4 3" xfId="527"/>
    <cellStyle name="Normal 10 4 3 2" xfId="861"/>
    <cellStyle name="Normal 10 4 4" xfId="643"/>
    <cellStyle name="Normal 10 5" xfId="413"/>
    <cellStyle name="Normal 10 5 2" xfId="749"/>
    <cellStyle name="Normal 10 6" xfId="524"/>
    <cellStyle name="Normal 10 6 2" xfId="858"/>
    <cellStyle name="Normal 10 7" xfId="640"/>
    <cellStyle name="Normal 11" xfId="205"/>
    <cellStyle name="Normal 11 2" xfId="206"/>
    <cellStyle name="Normal 12" xfId="207"/>
    <cellStyle name="Normal 12 2" xfId="417"/>
    <cellStyle name="Normal 12 2 2" xfId="753"/>
    <cellStyle name="Normal 12 3" xfId="528"/>
    <cellStyle name="Normal 12 3 2" xfId="862"/>
    <cellStyle name="Normal 12 4" xfId="644"/>
    <cellStyle name="Normal 13" xfId="208"/>
    <cellStyle name="Normal 13 2" xfId="418"/>
    <cellStyle name="Normal 13 2 2" xfId="754"/>
    <cellStyle name="Normal 13 3" xfId="529"/>
    <cellStyle name="Normal 13 3 2" xfId="863"/>
    <cellStyle name="Normal 13 4" xfId="645"/>
    <cellStyle name="Normal 14" xfId="209"/>
    <cellStyle name="Normal 14 2" xfId="419"/>
    <cellStyle name="Normal 14 2 2" xfId="755"/>
    <cellStyle name="Normal 14 3" xfId="530"/>
    <cellStyle name="Normal 14 3 2" xfId="864"/>
    <cellStyle name="Normal 14 4" xfId="646"/>
    <cellStyle name="Normal 15" xfId="210"/>
    <cellStyle name="Normal 16" xfId="211"/>
    <cellStyle name="Normal 16 2" xfId="212"/>
    <cellStyle name="Normal 16 3" xfId="420"/>
    <cellStyle name="Normal 16 3 2" xfId="756"/>
    <cellStyle name="Normal 16 4" xfId="531"/>
    <cellStyle name="Normal 16 4 2" xfId="865"/>
    <cellStyle name="Normal 16 5" xfId="647"/>
    <cellStyle name="Normal 17" xfId="213"/>
    <cellStyle name="Normal 17 2" xfId="421"/>
    <cellStyle name="Normal 17 2 2" xfId="757"/>
    <cellStyle name="Normal 17 3" xfId="532"/>
    <cellStyle name="Normal 17 3 2" xfId="866"/>
    <cellStyle name="Normal 17 4" xfId="648"/>
    <cellStyle name="Normal 18" xfId="214"/>
    <cellStyle name="Normal 18 2" xfId="215"/>
    <cellStyle name="Normal 18 2 2" xfId="338"/>
    <cellStyle name="Normal 18 2 3" xfId="386"/>
    <cellStyle name="Normal 18 2 4" xfId="612"/>
    <cellStyle name="Normal 18 2 4 2" xfId="960"/>
    <cellStyle name="Normal 19" xfId="103"/>
    <cellStyle name="Normal 19 2" xfId="385"/>
    <cellStyle name="Normal 19 3" xfId="611"/>
    <cellStyle name="Normal 19 3 2" xfId="959"/>
    <cellStyle name="Normal 2" xfId="216"/>
    <cellStyle name="Normal 2 2" xfId="217"/>
    <cellStyle name="Normal 2 2 2" xfId="218"/>
    <cellStyle name="Normal 2 2 2 2" xfId="219"/>
    <cellStyle name="Normal 2 2 3" xfId="220"/>
    <cellStyle name="Normal 2 3" xfId="221"/>
    <cellStyle name="Normal 2 4" xfId="222"/>
    <cellStyle name="Normal 2 4 2" xfId="223"/>
    <cellStyle name="Normal 2 4 3" xfId="422"/>
    <cellStyle name="Normal 2 4 3 2" xfId="758"/>
    <cellStyle name="Normal 2 4 4" xfId="533"/>
    <cellStyle name="Normal 2 4 4 2" xfId="867"/>
    <cellStyle name="Normal 2 4 5" xfId="649"/>
    <cellStyle name="Normal 2 5" xfId="224"/>
    <cellStyle name="Normal 2 5 2" xfId="225"/>
    <cellStyle name="Normal 2 5 2 2" xfId="423"/>
    <cellStyle name="Normal 2 5 2 2 2" xfId="759"/>
    <cellStyle name="Normal 2 5 2 3" xfId="534"/>
    <cellStyle name="Normal 2 5 2 3 2" xfId="868"/>
    <cellStyle name="Normal 2 5 2 4" xfId="650"/>
    <cellStyle name="Normal 2 6" xfId="226"/>
    <cellStyle name="Normal 2 6 2" xfId="424"/>
    <cellStyle name="Normal 2 6 2 2" xfId="760"/>
    <cellStyle name="Normal 2 6 3" xfId="535"/>
    <cellStyle name="Normal 2 6 3 2" xfId="869"/>
    <cellStyle name="Normal 2 6 4" xfId="651"/>
    <cellStyle name="Normal 2 7" xfId="227"/>
    <cellStyle name="Normal 2 7 2" xfId="425"/>
    <cellStyle name="Normal 2 7 2 2" xfId="761"/>
    <cellStyle name="Normal 2 7 3" xfId="536"/>
    <cellStyle name="Normal 2 7 3 2" xfId="870"/>
    <cellStyle name="Normal 2 7 4" xfId="652"/>
    <cellStyle name="Normal 2_Table 1.5" xfId="228"/>
    <cellStyle name="Normal 20" xfId="343"/>
    <cellStyle name="Normal 20 2" xfId="487"/>
    <cellStyle name="Normal 20 2 2" xfId="822"/>
    <cellStyle name="Normal 20 3" xfId="597"/>
    <cellStyle name="Normal 20 3 2" xfId="931"/>
    <cellStyle name="Normal 20 4" xfId="713"/>
    <cellStyle name="Normal 21" xfId="391"/>
    <cellStyle name="Normal 21 2" xfId="727"/>
    <cellStyle name="Normal 22" xfId="502"/>
    <cellStyle name="Normal 22 2" xfId="836"/>
    <cellStyle name="Normal 23" xfId="47"/>
    <cellStyle name="Normal 23 2" xfId="945"/>
    <cellStyle name="Normal 24" xfId="618"/>
    <cellStyle name="Normal 25" xfId="966"/>
    <cellStyle name="Normal 26" xfId="967"/>
    <cellStyle name="Normal 3" xfId="229"/>
    <cellStyle name="Normal 3 10" xfId="230"/>
    <cellStyle name="Normal 3 10 2" xfId="427"/>
    <cellStyle name="Normal 3 10 2 2" xfId="763"/>
    <cellStyle name="Normal 3 10 3" xfId="538"/>
    <cellStyle name="Normal 3 10 3 2" xfId="872"/>
    <cellStyle name="Normal 3 10 4" xfId="654"/>
    <cellStyle name="Normal 3 11" xfId="426"/>
    <cellStyle name="Normal 3 11 2" xfId="762"/>
    <cellStyle name="Normal 3 12" xfId="537"/>
    <cellStyle name="Normal 3 12 2" xfId="871"/>
    <cellStyle name="Normal 3 13" xfId="653"/>
    <cellStyle name="Normal 3 2" xfId="231"/>
    <cellStyle name="Normal 3 2 2" xfId="232"/>
    <cellStyle name="Normal 3 2 2 2" xfId="233"/>
    <cellStyle name="Normal 3 2 2 3" xfId="429"/>
    <cellStyle name="Normal 3 2 2 3 2" xfId="765"/>
    <cellStyle name="Normal 3 2 2 4" xfId="540"/>
    <cellStyle name="Normal 3 2 2 4 2" xfId="874"/>
    <cellStyle name="Normal 3 2 2 5" xfId="656"/>
    <cellStyle name="Normal 3 2 3" xfId="234"/>
    <cellStyle name="Normal 3 2 3 2" xfId="430"/>
    <cellStyle name="Normal 3 2 3 2 2" xfId="766"/>
    <cellStyle name="Normal 3 2 3 3" xfId="541"/>
    <cellStyle name="Normal 3 2 3 3 2" xfId="875"/>
    <cellStyle name="Normal 3 2 3 4" xfId="657"/>
    <cellStyle name="Normal 3 2 4" xfId="235"/>
    <cellStyle name="Normal 3 2 4 2" xfId="431"/>
    <cellStyle name="Normal 3 2 4 2 2" xfId="767"/>
    <cellStyle name="Normal 3 2 4 3" xfId="542"/>
    <cellStyle name="Normal 3 2 4 3 2" xfId="876"/>
    <cellStyle name="Normal 3 2 4 4" xfId="658"/>
    <cellStyle name="Normal 3 2 5" xfId="236"/>
    <cellStyle name="Normal 3 2 6" xfId="237"/>
    <cellStyle name="Normal 3 2 6 2" xfId="432"/>
    <cellStyle name="Normal 3 2 6 2 2" xfId="768"/>
    <cellStyle name="Normal 3 2 6 3" xfId="543"/>
    <cellStyle name="Normal 3 2 6 3 2" xfId="877"/>
    <cellStyle name="Normal 3 2 6 4" xfId="659"/>
    <cellStyle name="Normal 3 2 7" xfId="428"/>
    <cellStyle name="Normal 3 2 7 2" xfId="764"/>
    <cellStyle name="Normal 3 2 8" xfId="539"/>
    <cellStyle name="Normal 3 2 8 2" xfId="873"/>
    <cellStyle name="Normal 3 2 9" xfId="655"/>
    <cellStyle name="Normal 3 3" xfId="238"/>
    <cellStyle name="Normal 3 3 2" xfId="239"/>
    <cellStyle name="Normal 3 3 2 2" xfId="434"/>
    <cellStyle name="Normal 3 3 2 2 2" xfId="770"/>
    <cellStyle name="Normal 3 3 2 3" xfId="545"/>
    <cellStyle name="Normal 3 3 2 3 2" xfId="879"/>
    <cellStyle name="Normal 3 3 2 4" xfId="661"/>
    <cellStyle name="Normal 3 3 3" xfId="240"/>
    <cellStyle name="Normal 3 3 3 2" xfId="435"/>
    <cellStyle name="Normal 3 3 3 2 2" xfId="771"/>
    <cellStyle name="Normal 3 3 3 3" xfId="546"/>
    <cellStyle name="Normal 3 3 3 3 2" xfId="880"/>
    <cellStyle name="Normal 3 3 3 4" xfId="662"/>
    <cellStyle name="Normal 3 3 4" xfId="241"/>
    <cellStyle name="Normal 3 3 4 2" xfId="436"/>
    <cellStyle name="Normal 3 3 4 2 2" xfId="772"/>
    <cellStyle name="Normal 3 3 4 3" xfId="547"/>
    <cellStyle name="Normal 3 3 4 3 2" xfId="881"/>
    <cellStyle name="Normal 3 3 4 4" xfId="663"/>
    <cellStyle name="Normal 3 3 5" xfId="242"/>
    <cellStyle name="Normal 3 3 6" xfId="433"/>
    <cellStyle name="Normal 3 3 6 2" xfId="769"/>
    <cellStyle name="Normal 3 3 7" xfId="544"/>
    <cellStyle name="Normal 3 3 7 2" xfId="878"/>
    <cellStyle name="Normal 3 3 8" xfId="660"/>
    <cellStyle name="Normal 3 4" xfId="243"/>
    <cellStyle name="Normal 3 4 2" xfId="244"/>
    <cellStyle name="Normal 3 4 2 2" xfId="438"/>
    <cellStyle name="Normal 3 4 2 2 2" xfId="774"/>
    <cellStyle name="Normal 3 4 2 3" xfId="549"/>
    <cellStyle name="Normal 3 4 2 3 2" xfId="883"/>
    <cellStyle name="Normal 3 4 2 4" xfId="665"/>
    <cellStyle name="Normal 3 4 3" xfId="245"/>
    <cellStyle name="Normal 3 4 3 2" xfId="439"/>
    <cellStyle name="Normal 3 4 3 2 2" xfId="775"/>
    <cellStyle name="Normal 3 4 3 3" xfId="550"/>
    <cellStyle name="Normal 3 4 3 3 2" xfId="884"/>
    <cellStyle name="Normal 3 4 3 4" xfId="666"/>
    <cellStyle name="Normal 3 4 4" xfId="246"/>
    <cellStyle name="Normal 3 4 4 2" xfId="440"/>
    <cellStyle name="Normal 3 4 4 2 2" xfId="776"/>
    <cellStyle name="Normal 3 4 4 3" xfId="551"/>
    <cellStyle name="Normal 3 4 4 3 2" xfId="885"/>
    <cellStyle name="Normal 3 4 4 4" xfId="667"/>
    <cellStyle name="Normal 3 4 5" xfId="437"/>
    <cellStyle name="Normal 3 4 5 2" xfId="773"/>
    <cellStyle name="Normal 3 4 6" xfId="548"/>
    <cellStyle name="Normal 3 4 6 2" xfId="882"/>
    <cellStyle name="Normal 3 4 7" xfId="664"/>
    <cellStyle name="Normal 3 5" xfId="247"/>
    <cellStyle name="Normal 3 5 2" xfId="441"/>
    <cellStyle name="Normal 3 5 2 2" xfId="777"/>
    <cellStyle name="Normal 3 5 3" xfId="552"/>
    <cellStyle name="Normal 3 5 3 2" xfId="886"/>
    <cellStyle name="Normal 3 5 4" xfId="668"/>
    <cellStyle name="Normal 3 6" xfId="248"/>
    <cellStyle name="Normal 3 6 2" xfId="442"/>
    <cellStyle name="Normal 3 6 2 2" xfId="778"/>
    <cellStyle name="Normal 3 6 3" xfId="553"/>
    <cellStyle name="Normal 3 6 3 2" xfId="887"/>
    <cellStyle name="Normal 3 6 4" xfId="669"/>
    <cellStyle name="Normal 3 7" xfId="249"/>
    <cellStyle name="Normal 3 7 2" xfId="443"/>
    <cellStyle name="Normal 3 7 2 2" xfId="779"/>
    <cellStyle name="Normal 3 7 3" xfId="554"/>
    <cellStyle name="Normal 3 7 3 2" xfId="888"/>
    <cellStyle name="Normal 3 7 4" xfId="670"/>
    <cellStyle name="Normal 3 8" xfId="250"/>
    <cellStyle name="Normal 3 8 2" xfId="444"/>
    <cellStyle name="Normal 3 8 2 2" xfId="780"/>
    <cellStyle name="Normal 3 8 3" xfId="555"/>
    <cellStyle name="Normal 3 8 3 2" xfId="889"/>
    <cellStyle name="Normal 3 8 4" xfId="671"/>
    <cellStyle name="Normal 3 9" xfId="251"/>
    <cellStyle name="Normal 3 9 2" xfId="445"/>
    <cellStyle name="Normal 3 9 2 2" xfId="781"/>
    <cellStyle name="Normal 3 9 3" xfId="556"/>
    <cellStyle name="Normal 3 9 3 2" xfId="890"/>
    <cellStyle name="Normal 3 9 4" xfId="672"/>
    <cellStyle name="Normal 3_Table 1.5" xfId="252"/>
    <cellStyle name="Normal 4" xfId="253"/>
    <cellStyle name="Normal 4 10" xfId="254"/>
    <cellStyle name="Normal 4 11" xfId="446"/>
    <cellStyle name="Normal 4 11 2" xfId="782"/>
    <cellStyle name="Normal 4 12" xfId="557"/>
    <cellStyle name="Normal 4 12 2" xfId="891"/>
    <cellStyle name="Normal 4 13" xfId="673"/>
    <cellStyle name="Normal 4 2" xfId="255"/>
    <cellStyle name="Normal 4 2 2" xfId="256"/>
    <cellStyle name="Normal 4 2 2 2" xfId="448"/>
    <cellStyle name="Normal 4 2 2 2 2" xfId="784"/>
    <cellStyle name="Normal 4 2 2 3" xfId="559"/>
    <cellStyle name="Normal 4 2 2 3 2" xfId="893"/>
    <cellStyle name="Normal 4 2 2 4" xfId="675"/>
    <cellStyle name="Normal 4 2 3" xfId="257"/>
    <cellStyle name="Normal 4 2 3 2" xfId="449"/>
    <cellStyle name="Normal 4 2 3 2 2" xfId="785"/>
    <cellStyle name="Normal 4 2 3 3" xfId="560"/>
    <cellStyle name="Normal 4 2 3 3 2" xfId="894"/>
    <cellStyle name="Normal 4 2 3 4" xfId="676"/>
    <cellStyle name="Normal 4 2 4" xfId="258"/>
    <cellStyle name="Normal 4 2 4 2" xfId="450"/>
    <cellStyle name="Normal 4 2 4 2 2" xfId="786"/>
    <cellStyle name="Normal 4 2 4 3" xfId="561"/>
    <cellStyle name="Normal 4 2 4 3 2" xfId="895"/>
    <cellStyle name="Normal 4 2 4 4" xfId="677"/>
    <cellStyle name="Normal 4 2 5" xfId="259"/>
    <cellStyle name="Normal 4 2 5 2" xfId="451"/>
    <cellStyle name="Normal 4 2 5 2 2" xfId="787"/>
    <cellStyle name="Normal 4 2 5 3" xfId="562"/>
    <cellStyle name="Normal 4 2 5 3 2" xfId="896"/>
    <cellStyle name="Normal 4 2 5 4" xfId="678"/>
    <cellStyle name="Normal 4 2 6" xfId="447"/>
    <cellStyle name="Normal 4 2 6 2" xfId="783"/>
    <cellStyle name="Normal 4 2 7" xfId="558"/>
    <cellStyle name="Normal 4 2 7 2" xfId="892"/>
    <cellStyle name="Normal 4 2 8" xfId="674"/>
    <cellStyle name="Normal 4 3" xfId="260"/>
    <cellStyle name="Normal 4 3 2" xfId="261"/>
    <cellStyle name="Normal 4 3 2 2" xfId="453"/>
    <cellStyle name="Normal 4 3 2 2 2" xfId="789"/>
    <cellStyle name="Normal 4 3 2 3" xfId="564"/>
    <cellStyle name="Normal 4 3 2 3 2" xfId="898"/>
    <cellStyle name="Normal 4 3 2 4" xfId="680"/>
    <cellStyle name="Normal 4 3 3" xfId="262"/>
    <cellStyle name="Normal 4 3 3 2" xfId="454"/>
    <cellStyle name="Normal 4 3 3 2 2" xfId="790"/>
    <cellStyle name="Normal 4 3 3 3" xfId="565"/>
    <cellStyle name="Normal 4 3 3 3 2" xfId="899"/>
    <cellStyle name="Normal 4 3 3 4" xfId="681"/>
    <cellStyle name="Normal 4 3 4" xfId="263"/>
    <cellStyle name="Normal 4 3 4 2" xfId="455"/>
    <cellStyle name="Normal 4 3 4 2 2" xfId="791"/>
    <cellStyle name="Normal 4 3 4 3" xfId="566"/>
    <cellStyle name="Normal 4 3 4 3 2" xfId="900"/>
    <cellStyle name="Normal 4 3 4 4" xfId="682"/>
    <cellStyle name="Normal 4 3 5" xfId="264"/>
    <cellStyle name="Normal 4 3 6" xfId="452"/>
    <cellStyle name="Normal 4 3 6 2" xfId="788"/>
    <cellStyle name="Normal 4 3 7" xfId="563"/>
    <cellStyle name="Normal 4 3 7 2" xfId="897"/>
    <cellStyle name="Normal 4 3 8" xfId="679"/>
    <cellStyle name="Normal 4 4" xfId="265"/>
    <cellStyle name="Normal 4 4 2" xfId="266"/>
    <cellStyle name="Normal 4 4 3" xfId="456"/>
    <cellStyle name="Normal 4 4 3 2" xfId="792"/>
    <cellStyle name="Normal 4 4 4" xfId="567"/>
    <cellStyle name="Normal 4 4 4 2" xfId="901"/>
    <cellStyle name="Normal 4 4 5" xfId="683"/>
    <cellStyle name="Normal 4 5" xfId="267"/>
    <cellStyle name="Normal 4 5 2" xfId="457"/>
    <cellStyle name="Normal 4 5 2 2" xfId="793"/>
    <cellStyle name="Normal 4 5 3" xfId="568"/>
    <cellStyle name="Normal 4 5 3 2" xfId="902"/>
    <cellStyle name="Normal 4 5 4" xfId="684"/>
    <cellStyle name="Normal 4 6" xfId="268"/>
    <cellStyle name="Normal 4 6 2" xfId="458"/>
    <cellStyle name="Normal 4 6 2 2" xfId="794"/>
    <cellStyle name="Normal 4 6 3" xfId="569"/>
    <cellStyle name="Normal 4 6 3 2" xfId="903"/>
    <cellStyle name="Normal 4 6 4" xfId="685"/>
    <cellStyle name="Normal 4 7" xfId="269"/>
    <cellStyle name="Normal 4 7 2" xfId="459"/>
    <cellStyle name="Normal 4 7 2 2" xfId="795"/>
    <cellStyle name="Normal 4 7 3" xfId="570"/>
    <cellStyle name="Normal 4 7 3 2" xfId="904"/>
    <cellStyle name="Normal 4 7 4" xfId="686"/>
    <cellStyle name="Normal 4 8" xfId="270"/>
    <cellStyle name="Normal 4 8 2" xfId="460"/>
    <cellStyle name="Normal 4 8 2 2" xfId="796"/>
    <cellStyle name="Normal 4 8 3" xfId="571"/>
    <cellStyle name="Normal 4 8 3 2" xfId="905"/>
    <cellStyle name="Normal 4 8 4" xfId="687"/>
    <cellStyle name="Normal 4 9" xfId="271"/>
    <cellStyle name="Normal 4 9 2" xfId="461"/>
    <cellStyle name="Normal 4 9 2 2" xfId="797"/>
    <cellStyle name="Normal 4 9 3" xfId="572"/>
    <cellStyle name="Normal 4 9 3 2" xfId="906"/>
    <cellStyle name="Normal 4 9 4" xfId="688"/>
    <cellStyle name="Normal 4_Table 1.5" xfId="272"/>
    <cellStyle name="Normal 5" xfId="273"/>
    <cellStyle name="Normal 5 10" xfId="573"/>
    <cellStyle name="Normal 5 10 2" xfId="907"/>
    <cellStyle name="Normal 5 11" xfId="689"/>
    <cellStyle name="Normal 5 2" xfId="274"/>
    <cellStyle name="Normal 5 2 2" xfId="275"/>
    <cellStyle name="Normal 5 2 2 2" xfId="464"/>
    <cellStyle name="Normal 5 2 2 2 2" xfId="800"/>
    <cellStyle name="Normal 5 2 2 3" xfId="575"/>
    <cellStyle name="Normal 5 2 2 3 2" xfId="909"/>
    <cellStyle name="Normal 5 2 2 4" xfId="691"/>
    <cellStyle name="Normal 5 2 3" xfId="276"/>
    <cellStyle name="Normal 5 2 3 2" xfId="465"/>
    <cellStyle name="Normal 5 2 3 2 2" xfId="801"/>
    <cellStyle name="Normal 5 2 3 3" xfId="576"/>
    <cellStyle name="Normal 5 2 3 3 2" xfId="910"/>
    <cellStyle name="Normal 5 2 3 4" xfId="692"/>
    <cellStyle name="Normal 5 2 4" xfId="277"/>
    <cellStyle name="Normal 5 2 4 2" xfId="466"/>
    <cellStyle name="Normal 5 2 4 2 2" xfId="802"/>
    <cellStyle name="Normal 5 2 4 3" xfId="577"/>
    <cellStyle name="Normal 5 2 4 3 2" xfId="911"/>
    <cellStyle name="Normal 5 2 4 4" xfId="693"/>
    <cellStyle name="Normal 5 2 5" xfId="278"/>
    <cellStyle name="Normal 5 2 6" xfId="463"/>
    <cellStyle name="Normal 5 2 6 2" xfId="799"/>
    <cellStyle name="Normal 5 2 7" xfId="574"/>
    <cellStyle name="Normal 5 2 7 2" xfId="908"/>
    <cellStyle name="Normal 5 2 8" xfId="690"/>
    <cellStyle name="Normal 5 3" xfId="279"/>
    <cellStyle name="Normal 5 3 2" xfId="280"/>
    <cellStyle name="Normal 5 3 2 2" xfId="468"/>
    <cellStyle name="Normal 5 3 2 2 2" xfId="804"/>
    <cellStyle name="Normal 5 3 2 3" xfId="579"/>
    <cellStyle name="Normal 5 3 2 3 2" xfId="913"/>
    <cellStyle name="Normal 5 3 2 4" xfId="695"/>
    <cellStyle name="Normal 5 3 3" xfId="281"/>
    <cellStyle name="Normal 5 3 3 2" xfId="469"/>
    <cellStyle name="Normal 5 3 3 2 2" xfId="805"/>
    <cellStyle name="Normal 5 3 3 3" xfId="580"/>
    <cellStyle name="Normal 5 3 3 3 2" xfId="914"/>
    <cellStyle name="Normal 5 3 3 4" xfId="696"/>
    <cellStyle name="Normal 5 3 4" xfId="282"/>
    <cellStyle name="Normal 5 3 4 2" xfId="470"/>
    <cellStyle name="Normal 5 3 4 2 2" xfId="806"/>
    <cellStyle name="Normal 5 3 4 3" xfId="581"/>
    <cellStyle name="Normal 5 3 4 3 2" xfId="915"/>
    <cellStyle name="Normal 5 3 4 4" xfId="697"/>
    <cellStyle name="Normal 5 3 5" xfId="467"/>
    <cellStyle name="Normal 5 3 5 2" xfId="803"/>
    <cellStyle name="Normal 5 3 6" xfId="578"/>
    <cellStyle name="Normal 5 3 6 2" xfId="912"/>
    <cellStyle name="Normal 5 3 7" xfId="694"/>
    <cellStyle name="Normal 5 4" xfId="283"/>
    <cellStyle name="Normal 5 5" xfId="284"/>
    <cellStyle name="Normal 5 6" xfId="285"/>
    <cellStyle name="Normal 5 7" xfId="286"/>
    <cellStyle name="Normal 5 7 2" xfId="471"/>
    <cellStyle name="Normal 5 7 2 2" xfId="807"/>
    <cellStyle name="Normal 5 7 3" xfId="582"/>
    <cellStyle name="Normal 5 7 3 2" xfId="916"/>
    <cellStyle name="Normal 5 7 4" xfId="698"/>
    <cellStyle name="Normal 5 8" xfId="287"/>
    <cellStyle name="Normal 5 8 2" xfId="472"/>
    <cellStyle name="Normal 5 8 2 2" xfId="808"/>
    <cellStyle name="Normal 5 8 3" xfId="583"/>
    <cellStyle name="Normal 5 8 3 2" xfId="917"/>
    <cellStyle name="Normal 5 8 4" xfId="699"/>
    <cellStyle name="Normal 5 9" xfId="462"/>
    <cellStyle name="Normal 5 9 2" xfId="798"/>
    <cellStyle name="Normal 6" xfId="288"/>
    <cellStyle name="Normal 6 2" xfId="289"/>
    <cellStyle name="Normal 6 2 2" xfId="473"/>
    <cellStyle name="Normal 6 2 2 2" xfId="809"/>
    <cellStyle name="Normal 6 2 3" xfId="584"/>
    <cellStyle name="Normal 6 2 3 2" xfId="918"/>
    <cellStyle name="Normal 6 2 4" xfId="700"/>
    <cellStyle name="Normal 6 3" xfId="290"/>
    <cellStyle name="Normal 6 3 2" xfId="474"/>
    <cellStyle name="Normal 6 3 2 2" xfId="810"/>
    <cellStyle name="Normal 6 3 3" xfId="585"/>
    <cellStyle name="Normal 6 3 3 2" xfId="919"/>
    <cellStyle name="Normal 6 3 4" xfId="701"/>
    <cellStyle name="Normal 6 4" xfId="291"/>
    <cellStyle name="Normal 6 4 2" xfId="475"/>
    <cellStyle name="Normal 6 4 2 2" xfId="811"/>
    <cellStyle name="Normal 6 4 3" xfId="586"/>
    <cellStyle name="Normal 6 4 3 2" xfId="920"/>
    <cellStyle name="Normal 6 4 4" xfId="702"/>
    <cellStyle name="Normal 6 5" xfId="292"/>
    <cellStyle name="Normal 6 5 2" xfId="476"/>
    <cellStyle name="Normal 6 5 2 2" xfId="812"/>
    <cellStyle name="Normal 6 5 3" xfId="587"/>
    <cellStyle name="Normal 6 5 3 2" xfId="921"/>
    <cellStyle name="Normal 6 5 4" xfId="703"/>
    <cellStyle name="Normal 7" xfId="293"/>
    <cellStyle name="Normal 7 2" xfId="294"/>
    <cellStyle name="Normal 7 2 2" xfId="295"/>
    <cellStyle name="Normal 7 2 2 2" xfId="339"/>
    <cellStyle name="Normal 7 2 2 3" xfId="387"/>
    <cellStyle name="Normal 7 2 2 4" xfId="613"/>
    <cellStyle name="Normal 7 2 2 4 2" xfId="961"/>
    <cellStyle name="Normal 8" xfId="296"/>
    <cellStyle name="Normal 8 2" xfId="297"/>
    <cellStyle name="Normal 8 2 2" xfId="478"/>
    <cellStyle name="Normal 8 2 2 2" xfId="814"/>
    <cellStyle name="Normal 8 2 3" xfId="589"/>
    <cellStyle name="Normal 8 2 3 2" xfId="923"/>
    <cellStyle name="Normal 8 2 4" xfId="705"/>
    <cellStyle name="Normal 8 3" xfId="298"/>
    <cellStyle name="Normal 8 3 2" xfId="479"/>
    <cellStyle name="Normal 8 3 2 2" xfId="815"/>
    <cellStyle name="Normal 8 3 3" xfId="590"/>
    <cellStyle name="Normal 8 3 3 2" xfId="924"/>
    <cellStyle name="Normal 8 3 4" xfId="706"/>
    <cellStyle name="Normal 8 4" xfId="299"/>
    <cellStyle name="Normal 8 4 2" xfId="480"/>
    <cellStyle name="Normal 8 4 2 2" xfId="816"/>
    <cellStyle name="Normal 8 4 3" xfId="591"/>
    <cellStyle name="Normal 8 4 3 2" xfId="925"/>
    <cellStyle name="Normal 8 4 4" xfId="707"/>
    <cellStyle name="Normal 8 5" xfId="477"/>
    <cellStyle name="Normal 8 5 2" xfId="813"/>
    <cellStyle name="Normal 8 6" xfId="588"/>
    <cellStyle name="Normal 8 6 2" xfId="922"/>
    <cellStyle name="Normal 8 7" xfId="704"/>
    <cellStyle name="Normal 9" xfId="300"/>
    <cellStyle name="Normal 9 2" xfId="301"/>
    <cellStyle name="Normal 9 2 2" xfId="482"/>
    <cellStyle name="Normal 9 2 2 2" xfId="818"/>
    <cellStyle name="Normal 9 2 3" xfId="593"/>
    <cellStyle name="Normal 9 2 3 2" xfId="927"/>
    <cellStyle name="Normal 9 2 4" xfId="709"/>
    <cellStyle name="Normal 9 3" xfId="302"/>
    <cellStyle name="Normal 9 3 2" xfId="483"/>
    <cellStyle name="Normal 9 3 2 2" xfId="819"/>
    <cellStyle name="Normal 9 3 3" xfId="594"/>
    <cellStyle name="Normal 9 3 3 2" xfId="928"/>
    <cellStyle name="Normal 9 3 4" xfId="710"/>
    <cellStyle name="Normal 9 4" xfId="303"/>
    <cellStyle name="Normal 9 4 2" xfId="484"/>
    <cellStyle name="Normal 9 4 2 2" xfId="820"/>
    <cellStyle name="Normal 9 4 3" xfId="595"/>
    <cellStyle name="Normal 9 4 3 2" xfId="929"/>
    <cellStyle name="Normal 9 4 4" xfId="711"/>
    <cellStyle name="Normal 9 5" xfId="481"/>
    <cellStyle name="Normal 9 5 2" xfId="817"/>
    <cellStyle name="Normal 9 6" xfId="592"/>
    <cellStyle name="Normal 9 6 2" xfId="926"/>
    <cellStyle name="Normal 9 7" xfId="708"/>
    <cellStyle name="Normal_1) Ste's Blank Sheet-Workbook1" xfId="39"/>
    <cellStyle name="Normal_summary 2001-2002" xfId="40"/>
    <cellStyle name="Normal10" xfId="304"/>
    <cellStyle name="Normal10 2" xfId="305"/>
    <cellStyle name="Normal10 3" xfId="306"/>
    <cellStyle name="Normal10 4" xfId="307"/>
    <cellStyle name="Normal10 5" xfId="308"/>
    <cellStyle name="Normal10 6" xfId="614"/>
    <cellStyle name="Normal10 6 2" xfId="962"/>
    <cellStyle name="Note" xfId="41" builtinId="10" customBuiltin="1"/>
    <cellStyle name="Note 2" xfId="309"/>
    <cellStyle name="Note 2 2" xfId="310"/>
    <cellStyle name="Note 2 2 2" xfId="485"/>
    <cellStyle name="Note 2 2 2 2" xfId="821"/>
    <cellStyle name="Note 2 2 3" xfId="596"/>
    <cellStyle name="Note 2 2 3 2" xfId="930"/>
    <cellStyle name="Note 2 2 4" xfId="712"/>
    <cellStyle name="Note 2 3" xfId="311"/>
    <cellStyle name="Note 3" xfId="312"/>
    <cellStyle name="Note 4" xfId="358"/>
    <cellStyle name="Note 4 2" xfId="488"/>
    <cellStyle name="Note 4 2 2" xfId="823"/>
    <cellStyle name="Note 4 3" xfId="598"/>
    <cellStyle name="Note 4 3 2" xfId="932"/>
    <cellStyle name="Note 4 4" xfId="714"/>
    <cellStyle name="Note 5" xfId="342"/>
    <cellStyle name="Note 6" xfId="392"/>
    <cellStyle name="Note 6 2" xfId="728"/>
    <cellStyle name="Note 7" xfId="503"/>
    <cellStyle name="Note 7 2" xfId="837"/>
    <cellStyle name="Note 8" xfId="62"/>
    <cellStyle name="Note 8 2" xfId="946"/>
    <cellStyle name="Note 9" xfId="619"/>
    <cellStyle name="Output" xfId="42" builtinId="21" customBuiltin="1"/>
    <cellStyle name="Output 2" xfId="313"/>
    <cellStyle name="Output 2 2" xfId="314"/>
    <cellStyle name="Output 2 3" xfId="315"/>
    <cellStyle name="Output 3" xfId="316"/>
    <cellStyle name="Output 4" xfId="353"/>
    <cellStyle name="Output 5" xfId="57"/>
    <cellStyle name="Percent" xfId="43" builtinId="5"/>
    <cellStyle name="Percent 2" xfId="318"/>
    <cellStyle name="Percent 2 2" xfId="319"/>
    <cellStyle name="Percent 2 2 2" xfId="320"/>
    <cellStyle name="Percent 2 3" xfId="321"/>
    <cellStyle name="Percent 2 4" xfId="322"/>
    <cellStyle name="Percent 3" xfId="323"/>
    <cellStyle name="Percent 3 2" xfId="324"/>
    <cellStyle name="Percent 3 3" xfId="325"/>
    <cellStyle name="Percent 3 3 2" xfId="326"/>
    <cellStyle name="Percent 3 3 2 2" xfId="340"/>
    <cellStyle name="Percent 3 3 2 3" xfId="389"/>
    <cellStyle name="Percent 3 3 2 4" xfId="616"/>
    <cellStyle name="Percent 3 3 2 4 2" xfId="964"/>
    <cellStyle name="Percent 4" xfId="327"/>
    <cellStyle name="Percent 5" xfId="328"/>
    <cellStyle name="Percent 6" xfId="329"/>
    <cellStyle name="Percent 7" xfId="317"/>
    <cellStyle name="Percent 7 2" xfId="388"/>
    <cellStyle name="Percent 7 3" xfId="615"/>
    <cellStyle name="Percent 7 3 2" xfId="963"/>
    <cellStyle name="Title" xfId="44" builtinId="15" customBuiltin="1"/>
    <cellStyle name="Title 2" xfId="330"/>
    <cellStyle name="Title 3" xfId="331"/>
    <cellStyle name="Title 4" xfId="344"/>
    <cellStyle name="Title 5" xfId="48"/>
    <cellStyle name="Total" xfId="45" builtinId="25" customBuiltin="1"/>
    <cellStyle name="Total 2" xfId="332"/>
    <cellStyle name="Total 2 2" xfId="333"/>
    <cellStyle name="Total 2 3" xfId="334"/>
    <cellStyle name="Total 3" xfId="335"/>
    <cellStyle name="Total 4" xfId="360"/>
    <cellStyle name="Total 5" xfId="64"/>
    <cellStyle name="Warning Text" xfId="46" builtinId="11" customBuiltin="1"/>
    <cellStyle name="Warning Text 2" xfId="336"/>
    <cellStyle name="Warning Text 2 2" xfId="337"/>
    <cellStyle name="Warning Text 3" xfId="357"/>
    <cellStyle name="Warning Text 4" xfId="61"/>
  </cellStyles>
  <dxfs count="9">
    <dxf>
      <fill>
        <patternFill>
          <bgColor indexed="42"/>
        </patternFill>
      </fill>
    </dxf>
    <dxf>
      <fill>
        <patternFill>
          <bgColor indexed="47"/>
        </patternFill>
      </fill>
    </dxf>
    <dxf>
      <font>
        <condense val="0"/>
        <extend val="0"/>
        <color auto="1"/>
      </font>
      <fill>
        <patternFill>
          <bgColor indexed="10"/>
        </patternFill>
      </fill>
    </dxf>
    <dxf>
      <fill>
        <patternFill>
          <bgColor indexed="17"/>
        </patternFill>
      </fill>
    </dxf>
    <dxf>
      <fill>
        <patternFill>
          <bgColor indexed="22"/>
        </patternFill>
      </fill>
    </dxf>
    <dxf>
      <fill>
        <patternFill>
          <bgColor indexed="47"/>
        </patternFill>
      </fill>
    </dxf>
    <dxf>
      <font>
        <condense val="0"/>
        <extend val="0"/>
        <color auto="1"/>
      </font>
      <fill>
        <patternFill>
          <bgColor indexed="10"/>
        </patternFill>
      </fill>
    </dxf>
    <dxf>
      <fill>
        <patternFill>
          <bgColor indexed="17"/>
        </patternFill>
      </fill>
    </dxf>
    <dxf>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Movement: Children and families social work expenditure (gross)</a:t>
            </a:r>
          </a:p>
        </c:rich>
      </c:tx>
      <c:layout>
        <c:manualLayout>
          <c:xMode val="edge"/>
          <c:yMode val="edge"/>
          <c:x val="0.17520661157024794"/>
          <c:y val="2.6515249597721346E-2"/>
        </c:manualLayout>
      </c:layout>
      <c:overlay val="0"/>
      <c:spPr>
        <a:noFill/>
        <a:ln w="25400">
          <a:noFill/>
        </a:ln>
      </c:spPr>
    </c:title>
    <c:autoTitleDeleted val="0"/>
    <c:plotArea>
      <c:layout>
        <c:manualLayout>
          <c:layoutTarget val="inner"/>
          <c:xMode val="edge"/>
          <c:yMode val="edge"/>
          <c:x val="0.10082644628099173"/>
          <c:y val="0.15151571198697911"/>
          <c:w val="0.83305785123966947"/>
          <c:h val="0.64394177594466129"/>
        </c:manualLayout>
      </c:layout>
      <c:lineChart>
        <c:grouping val="standard"/>
        <c:varyColors val="0"/>
        <c:ser>
          <c:idx val="0"/>
          <c:order val="0"/>
          <c:tx>
            <c:strRef>
              <c:f>Cover!$M$153:$N$153</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Cover!$O$152:$X$152</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Cover!$O$153:$X$153</c:f>
              <c:numCache>
                <c:formatCode>0%</c:formatCode>
                <c:ptCount val="10"/>
                <c:pt idx="0">
                  <c:v>0</c:v>
                </c:pt>
                <c:pt idx="1">
                  <c:v>7.8816197669947963E-2</c:v>
                </c:pt>
                <c:pt idx="2">
                  <c:v>0.10603670453265046</c:v>
                </c:pt>
                <c:pt idx="3">
                  <c:v>0.20999457037622826</c:v>
                </c:pt>
                <c:pt idx="4">
                  <c:v>0.18706147511778926</c:v>
                </c:pt>
                <c:pt idx="5">
                  <c:v>0.13235694456794334</c:v>
                </c:pt>
                <c:pt idx="6">
                  <c:v>0.16562602023675432</c:v>
                </c:pt>
                <c:pt idx="7">
                  <c:v>0.12565287239385725</c:v>
                </c:pt>
                <c:pt idx="8">
                  <c:v>0.18121197175035864</c:v>
                </c:pt>
                <c:pt idx="9">
                  <c:v>0.18081810972867607</c:v>
                </c:pt>
              </c:numCache>
            </c:numRef>
          </c:val>
          <c:smooth val="0"/>
        </c:ser>
        <c:ser>
          <c:idx val="1"/>
          <c:order val="1"/>
          <c:tx>
            <c:strRef>
              <c:f>Cover!$M$154:$N$154</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Cover!$O$152:$X$152</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Cover!$O$154:$X$154</c:f>
              <c:numCache>
                <c:formatCode>0%</c:formatCode>
                <c:ptCount val="10"/>
                <c:pt idx="0">
                  <c:v>0</c:v>
                </c:pt>
                <c:pt idx="1">
                  <c:v>5.4733777606012168E-2</c:v>
                </c:pt>
                <c:pt idx="2">
                  <c:v>0.100377514959896</c:v>
                </c:pt>
                <c:pt idx="3">
                  <c:v>0.12783067186412778</c:v>
                </c:pt>
                <c:pt idx="4">
                  <c:v>0.17033231791444847</c:v>
                </c:pt>
                <c:pt idx="5">
                  <c:v>0.14784756326096438</c:v>
                </c:pt>
                <c:pt idx="6">
                  <c:v>0.15795015910960486</c:v>
                </c:pt>
                <c:pt idx="7">
                  <c:v>0.20072490627987549</c:v>
                </c:pt>
                <c:pt idx="8">
                  <c:v>0.20589136891952076</c:v>
                </c:pt>
                <c:pt idx="9">
                  <c:v>0.22435619617843039</c:v>
                </c:pt>
              </c:numCache>
            </c:numRef>
          </c:val>
          <c:smooth val="0"/>
        </c:ser>
        <c:dLbls>
          <c:showLegendKey val="0"/>
          <c:showVal val="0"/>
          <c:showCatName val="0"/>
          <c:showSerName val="0"/>
          <c:showPercent val="0"/>
          <c:showBubbleSize val="0"/>
        </c:dLbls>
        <c:marker val="1"/>
        <c:smooth val="0"/>
        <c:axId val="199623424"/>
        <c:axId val="199625344"/>
      </c:lineChart>
      <c:catAx>
        <c:axId val="199623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99625344"/>
        <c:crosses val="autoZero"/>
        <c:auto val="1"/>
        <c:lblAlgn val="ctr"/>
        <c:lblOffset val="100"/>
        <c:tickLblSkip val="1"/>
        <c:tickMarkSkip val="1"/>
        <c:noMultiLvlLbl val="0"/>
      </c:catAx>
      <c:valAx>
        <c:axId val="19962534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8.2644628099173556E-3"/>
              <c:y val="0.2689403887768879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99623424"/>
        <c:crosses val="autoZero"/>
        <c:crossBetween val="between"/>
      </c:valAx>
      <c:spPr>
        <a:noFill/>
        <a:ln w="25400">
          <a:noFill/>
        </a:ln>
      </c:spPr>
    </c:plotArea>
    <c:legend>
      <c:legendPos val="r"/>
      <c:layout>
        <c:manualLayout>
          <c:xMode val="edge"/>
          <c:yMode val="edge"/>
          <c:x val="0.36528925619834712"/>
          <c:y val="0.90151848632252574"/>
          <c:w val="0.32892561983471075"/>
          <c:h val="8.712153439251299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Children and families services
(per head of 0-17 population)</a:t>
            </a:r>
          </a:p>
        </c:rich>
      </c:tx>
      <c:layout>
        <c:manualLayout>
          <c:xMode val="edge"/>
          <c:yMode val="edge"/>
          <c:x val="0.21767594108019639"/>
          <c:y val="1.6891891891891893E-2"/>
        </c:manualLayout>
      </c:layout>
      <c:overlay val="0"/>
      <c:spPr>
        <a:noFill/>
        <a:ln w="25400">
          <a:noFill/>
        </a:ln>
      </c:spPr>
    </c:title>
    <c:autoTitleDeleted val="0"/>
    <c:plotArea>
      <c:layout>
        <c:manualLayout>
          <c:layoutTarget val="inner"/>
          <c:xMode val="edge"/>
          <c:yMode val="edge"/>
          <c:x val="0.13093289689034371"/>
          <c:y val="0.17229729729729729"/>
          <c:w val="0.83142389525368243"/>
          <c:h val="0.61148648648648651"/>
        </c:manualLayout>
      </c:layout>
      <c:lineChart>
        <c:grouping val="standard"/>
        <c:varyColors val="0"/>
        <c:ser>
          <c:idx val="0"/>
          <c:order val="0"/>
          <c:tx>
            <c:strRef>
              <c:f>Cover!$M$176:$N$176</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Cover!$O$175:$X$175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Cover!$O$176:$X$176</c:f>
              <c:numCache>
                <c:formatCode>_-* #,##0_-;\-* #,##0_-;_-* "-"??_-;_-@_-</c:formatCode>
                <c:ptCount val="10"/>
                <c:pt idx="0">
                  <c:v>839.35459604148411</c:v>
                </c:pt>
                <c:pt idx="1">
                  <c:v>915.6923341702992</c:v>
                </c:pt>
                <c:pt idx="2">
                  <c:v>933.01239583117285</c:v>
                </c:pt>
                <c:pt idx="3">
                  <c:v>1013.6237358372176</c:v>
                </c:pt>
                <c:pt idx="4">
                  <c:v>987.06542987728324</c:v>
                </c:pt>
                <c:pt idx="5">
                  <c:v>929.69749058585705</c:v>
                </c:pt>
                <c:pt idx="6">
                  <c:v>1008.2645139323574</c:v>
                </c:pt>
                <c:pt idx="7">
                  <c:v>955.47265016909125</c:v>
                </c:pt>
                <c:pt idx="8">
                  <c:v>993.77674291515871</c:v>
                </c:pt>
                <c:pt idx="9">
                  <c:v>993.44537909018345</c:v>
                </c:pt>
              </c:numCache>
            </c:numRef>
          </c:val>
          <c:smooth val="0"/>
        </c:ser>
        <c:ser>
          <c:idx val="1"/>
          <c:order val="1"/>
          <c:tx>
            <c:strRef>
              <c:f>Cover!$M$177:$N$177</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Cover!$O$175:$X$175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Cover!$O$177:$X$177</c:f>
              <c:numCache>
                <c:formatCode>_-* #,##0_-;\-* #,##0_-;_-* "-"??_-;_-@_-</c:formatCode>
                <c:ptCount val="10"/>
                <c:pt idx="0">
                  <c:v>658.30916738604049</c:v>
                </c:pt>
                <c:pt idx="1">
                  <c:v>700.18356310428169</c:v>
                </c:pt>
                <c:pt idx="2">
                  <c:v>732.4250190339128</c:v>
                </c:pt>
                <c:pt idx="3">
                  <c:v>751.9286558903126</c:v>
                </c:pt>
                <c:pt idx="4">
                  <c:v>782.91957353144039</c:v>
                </c:pt>
                <c:pt idx="5">
                  <c:v>771.06531142464132</c:v>
                </c:pt>
                <c:pt idx="6">
                  <c:v>774.70241582376013</c:v>
                </c:pt>
                <c:pt idx="7">
                  <c:v>806.10016331813142</c:v>
                </c:pt>
                <c:pt idx="8">
                  <c:v>813.70666010042544</c:v>
                </c:pt>
                <c:pt idx="9">
                  <c:v>826.16628399809144</c:v>
                </c:pt>
              </c:numCache>
            </c:numRef>
          </c:val>
          <c:smooth val="0"/>
        </c:ser>
        <c:ser>
          <c:idx val="2"/>
          <c:order val="2"/>
          <c:tx>
            <c:strRef>
              <c:f>Cover!$N$178</c:f>
              <c:strCache>
                <c:ptCount val="1"/>
                <c:pt idx="0">
                  <c:v>Min</c:v>
                </c:pt>
              </c:strCache>
            </c:strRef>
          </c:tx>
          <c:spPr>
            <a:ln w="25400">
              <a:solidFill>
                <a:srgbClr val="000000"/>
              </a:solidFill>
              <a:prstDash val="sysDash"/>
            </a:ln>
          </c:spPr>
          <c:marker>
            <c:symbol val="none"/>
          </c:marker>
          <c:cat>
            <c:strRef>
              <c:f>Cover!$O$175:$X$175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Cover!$O$178:$X$178</c:f>
              <c:numCache>
                <c:formatCode>#,##0</c:formatCode>
                <c:ptCount val="10"/>
                <c:pt idx="0">
                  <c:v>248.67706729007546</c:v>
                </c:pt>
                <c:pt idx="1">
                  <c:v>276.83438973215533</c:v>
                </c:pt>
                <c:pt idx="2">
                  <c:v>306.79223231781197</c:v>
                </c:pt>
                <c:pt idx="3">
                  <c:v>330.88971614722914</c:v>
                </c:pt>
                <c:pt idx="4">
                  <c:v>347.06386680913022</c:v>
                </c:pt>
                <c:pt idx="5">
                  <c:v>316.71655958631965</c:v>
                </c:pt>
                <c:pt idx="6">
                  <c:v>347.63879705263986</c:v>
                </c:pt>
                <c:pt idx="7">
                  <c:v>372.30481441370483</c:v>
                </c:pt>
                <c:pt idx="8">
                  <c:v>400.24080684257223</c:v>
                </c:pt>
                <c:pt idx="9">
                  <c:v>366.60442772391843</c:v>
                </c:pt>
              </c:numCache>
            </c:numRef>
          </c:val>
          <c:smooth val="0"/>
        </c:ser>
        <c:ser>
          <c:idx val="3"/>
          <c:order val="3"/>
          <c:tx>
            <c:strRef>
              <c:f>Cover!$N$179</c:f>
              <c:strCache>
                <c:ptCount val="1"/>
                <c:pt idx="0">
                  <c:v>Max</c:v>
                </c:pt>
              </c:strCache>
            </c:strRef>
          </c:tx>
          <c:spPr>
            <a:ln w="25400">
              <a:solidFill>
                <a:srgbClr val="000000"/>
              </a:solidFill>
              <a:prstDash val="sysDash"/>
            </a:ln>
          </c:spPr>
          <c:marker>
            <c:symbol val="none"/>
          </c:marker>
          <c:cat>
            <c:strRef>
              <c:f>Cover!$O$175:$X$175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Cover!$O$179:$X$179</c:f>
              <c:numCache>
                <c:formatCode>#,##0</c:formatCode>
                <c:ptCount val="10"/>
                <c:pt idx="0">
                  <c:v>1245.2543575449426</c:v>
                </c:pt>
                <c:pt idx="1">
                  <c:v>1216.3743439353234</c:v>
                </c:pt>
                <c:pt idx="2">
                  <c:v>1288.4604786419095</c:v>
                </c:pt>
                <c:pt idx="3">
                  <c:v>1320.9611929470636</c:v>
                </c:pt>
                <c:pt idx="4">
                  <c:v>1380.7274730551419</c:v>
                </c:pt>
                <c:pt idx="5">
                  <c:v>1369.5482766187247</c:v>
                </c:pt>
                <c:pt idx="6">
                  <c:v>1355.8143731652699</c:v>
                </c:pt>
                <c:pt idx="7">
                  <c:v>1390.3993671933922</c:v>
                </c:pt>
                <c:pt idx="8">
                  <c:v>1363.7527637700134</c:v>
                </c:pt>
                <c:pt idx="9">
                  <c:v>1349.3005762224707</c:v>
                </c:pt>
              </c:numCache>
            </c:numRef>
          </c:val>
          <c:smooth val="0"/>
        </c:ser>
        <c:dLbls>
          <c:showLegendKey val="0"/>
          <c:showVal val="0"/>
          <c:showCatName val="0"/>
          <c:showSerName val="0"/>
          <c:showPercent val="0"/>
          <c:showBubbleSize val="0"/>
        </c:dLbls>
        <c:marker val="1"/>
        <c:smooth val="0"/>
        <c:axId val="313346304"/>
        <c:axId val="313348096"/>
      </c:lineChart>
      <c:catAx>
        <c:axId val="31334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3348096"/>
        <c:crosses val="autoZero"/>
        <c:auto val="1"/>
        <c:lblAlgn val="ctr"/>
        <c:lblOffset val="100"/>
        <c:tickLblSkip val="1"/>
        <c:tickMarkSkip val="1"/>
        <c:noMultiLvlLbl val="0"/>
      </c:catAx>
      <c:valAx>
        <c:axId val="3133480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0-17 population (£)</a:t>
                </a:r>
              </a:p>
            </c:rich>
          </c:tx>
          <c:layout>
            <c:manualLayout>
              <c:xMode val="edge"/>
              <c:yMode val="edge"/>
              <c:x val="8.1833060556464818E-3"/>
              <c:y val="0.195945945945945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3346304"/>
        <c:crosses val="autoZero"/>
        <c:crossBetween val="between"/>
      </c:valAx>
      <c:spPr>
        <a:noFill/>
        <a:ln w="25400">
          <a:noFill/>
        </a:ln>
      </c:spPr>
    </c:plotArea>
    <c:legend>
      <c:legendPos val="b"/>
      <c:layout>
        <c:manualLayout>
          <c:xMode val="edge"/>
          <c:yMode val="edge"/>
          <c:x val="0.20785597381342061"/>
          <c:y val="0.90878378378378377"/>
          <c:w val="0.60556464811783961"/>
          <c:h val="7.7702702702702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Older people's services
(per head of 65+ population)
</a:t>
            </a:r>
          </a:p>
        </c:rich>
      </c:tx>
      <c:layout>
        <c:manualLayout>
          <c:xMode val="edge"/>
          <c:yMode val="edge"/>
          <c:x val="0.25657894736842107"/>
          <c:y val="3.4920743181867504E-2"/>
        </c:manualLayout>
      </c:layout>
      <c:overlay val="0"/>
      <c:spPr>
        <a:noFill/>
        <a:ln w="25400">
          <a:noFill/>
        </a:ln>
      </c:spPr>
    </c:title>
    <c:autoTitleDeleted val="0"/>
    <c:plotArea>
      <c:layout>
        <c:manualLayout>
          <c:layoutTarget val="inner"/>
          <c:xMode val="edge"/>
          <c:yMode val="edge"/>
          <c:x val="0.16776315789473684"/>
          <c:y val="0.21904829814080526"/>
          <c:w val="0.80756578947368418"/>
          <c:h val="0.55873189090988007"/>
        </c:manualLayout>
      </c:layout>
      <c:lineChart>
        <c:grouping val="standard"/>
        <c:varyColors val="0"/>
        <c:ser>
          <c:idx val="0"/>
          <c:order val="0"/>
          <c:tx>
            <c:strRef>
              <c:f>Cover!$M$492:$N$492</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Cover!$O$491:$X$491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Cover!$O$492:$X$492</c:f>
              <c:numCache>
                <c:formatCode>_-* #,##0_-;\-* #,##0_-;_-* "-"??_-;_-@_-</c:formatCode>
                <c:ptCount val="10"/>
                <c:pt idx="0">
                  <c:v>2001.6056693019741</c:v>
                </c:pt>
                <c:pt idx="1">
                  <c:v>1999.2154777818657</c:v>
                </c:pt>
                <c:pt idx="2">
                  <c:v>2016.8601830008947</c:v>
                </c:pt>
                <c:pt idx="3">
                  <c:v>1989.2411157155209</c:v>
                </c:pt>
                <c:pt idx="4">
                  <c:v>1992.8083561375624</c:v>
                </c:pt>
                <c:pt idx="5">
                  <c:v>2055.6730045711151</c:v>
                </c:pt>
                <c:pt idx="6">
                  <c:v>2039.0384475611527</c:v>
                </c:pt>
                <c:pt idx="7">
                  <c:v>2122.9873967315925</c:v>
                </c:pt>
                <c:pt idx="8">
                  <c:v>2058.5251765310081</c:v>
                </c:pt>
                <c:pt idx="9">
                  <c:v>2008.972940705366</c:v>
                </c:pt>
              </c:numCache>
            </c:numRef>
          </c:val>
          <c:smooth val="0"/>
        </c:ser>
        <c:ser>
          <c:idx val="1"/>
          <c:order val="1"/>
          <c:tx>
            <c:strRef>
              <c:f>Cover!$M$493:$N$493</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Cover!$O$491:$X$491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Cover!$O$493:$X$493</c:f>
              <c:numCache>
                <c:formatCode>_-* #,##0_-;\-* #,##0_-;_-* "-"??_-;_-@_-</c:formatCode>
                <c:ptCount val="10"/>
                <c:pt idx="0">
                  <c:v>1782.7640193268971</c:v>
                </c:pt>
                <c:pt idx="1">
                  <c:v>1857.8620376218603</c:v>
                </c:pt>
                <c:pt idx="2">
                  <c:v>1925.7065761209928</c:v>
                </c:pt>
                <c:pt idx="3">
                  <c:v>1966.6403310508738</c:v>
                </c:pt>
                <c:pt idx="4">
                  <c:v>1959.4783648936741</c:v>
                </c:pt>
                <c:pt idx="5">
                  <c:v>1892.6113186344255</c:v>
                </c:pt>
                <c:pt idx="6">
                  <c:v>1855.7410778513888</c:v>
                </c:pt>
                <c:pt idx="7">
                  <c:v>1816.5186967121829</c:v>
                </c:pt>
                <c:pt idx="8">
                  <c:v>1769.5865433060389</c:v>
                </c:pt>
                <c:pt idx="9">
                  <c:v>1789.3280359756757</c:v>
                </c:pt>
              </c:numCache>
            </c:numRef>
          </c:val>
          <c:smooth val="0"/>
        </c:ser>
        <c:ser>
          <c:idx val="2"/>
          <c:order val="2"/>
          <c:tx>
            <c:strRef>
              <c:f>Cover!$N$494</c:f>
              <c:strCache>
                <c:ptCount val="1"/>
                <c:pt idx="0">
                  <c:v>Min</c:v>
                </c:pt>
              </c:strCache>
            </c:strRef>
          </c:tx>
          <c:spPr>
            <a:ln w="25400">
              <a:solidFill>
                <a:srgbClr val="000000"/>
              </a:solidFill>
              <a:prstDash val="sysDash"/>
            </a:ln>
          </c:spPr>
          <c:marker>
            <c:symbol val="none"/>
          </c:marker>
          <c:cat>
            <c:strRef>
              <c:f>Cover!$O$491:$X$491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Cover!$O$494:$X$494</c:f>
              <c:numCache>
                <c:formatCode>#,##0</c:formatCode>
                <c:ptCount val="10"/>
                <c:pt idx="0">
                  <c:v>1128.1241915949995</c:v>
                </c:pt>
                <c:pt idx="1">
                  <c:v>1205.0569635348493</c:v>
                </c:pt>
                <c:pt idx="2">
                  <c:v>1244.0992076183945</c:v>
                </c:pt>
                <c:pt idx="3">
                  <c:v>1273.1423997518855</c:v>
                </c:pt>
                <c:pt idx="4">
                  <c:v>1262.5931821738614</c:v>
                </c:pt>
                <c:pt idx="5">
                  <c:v>1278.9201268982233</c:v>
                </c:pt>
                <c:pt idx="6">
                  <c:v>1459.748453347454</c:v>
                </c:pt>
                <c:pt idx="7">
                  <c:v>1424.0790365802475</c:v>
                </c:pt>
                <c:pt idx="8">
                  <c:v>1183.7819813586555</c:v>
                </c:pt>
                <c:pt idx="9">
                  <c:v>1131.9139683290002</c:v>
                </c:pt>
              </c:numCache>
            </c:numRef>
          </c:val>
          <c:smooth val="0"/>
        </c:ser>
        <c:ser>
          <c:idx val="3"/>
          <c:order val="3"/>
          <c:tx>
            <c:strRef>
              <c:f>Cover!$N$495</c:f>
              <c:strCache>
                <c:ptCount val="1"/>
                <c:pt idx="0">
                  <c:v>Max</c:v>
                </c:pt>
              </c:strCache>
            </c:strRef>
          </c:tx>
          <c:spPr>
            <a:ln w="25400">
              <a:solidFill>
                <a:srgbClr val="000000"/>
              </a:solidFill>
              <a:prstDash val="sysDash"/>
            </a:ln>
          </c:spPr>
          <c:marker>
            <c:symbol val="none"/>
          </c:marker>
          <c:cat>
            <c:strRef>
              <c:f>Cover!$O$491:$X$491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Cover!$O$495:$X$495</c:f>
              <c:numCache>
                <c:formatCode>#,##0</c:formatCode>
                <c:ptCount val="10"/>
                <c:pt idx="0">
                  <c:v>3471.7851428194872</c:v>
                </c:pt>
                <c:pt idx="1">
                  <c:v>3283.1972982154457</c:v>
                </c:pt>
                <c:pt idx="2">
                  <c:v>3087.5163940941525</c:v>
                </c:pt>
                <c:pt idx="3">
                  <c:v>3441.0112593310623</c:v>
                </c:pt>
                <c:pt idx="4">
                  <c:v>4553.0543063717223</c:v>
                </c:pt>
                <c:pt idx="5">
                  <c:v>4728.2862854042587</c:v>
                </c:pt>
                <c:pt idx="6">
                  <c:v>5387.756836395859</c:v>
                </c:pt>
                <c:pt idx="7">
                  <c:v>5054.2440984429932</c:v>
                </c:pt>
                <c:pt idx="8">
                  <c:v>4275.2805947636489</c:v>
                </c:pt>
                <c:pt idx="9">
                  <c:v>4130.4737021691453</c:v>
                </c:pt>
              </c:numCache>
            </c:numRef>
          </c:val>
          <c:smooth val="0"/>
        </c:ser>
        <c:dLbls>
          <c:showLegendKey val="0"/>
          <c:showVal val="0"/>
          <c:showCatName val="0"/>
          <c:showSerName val="0"/>
          <c:showPercent val="0"/>
          <c:showBubbleSize val="0"/>
        </c:dLbls>
        <c:marker val="1"/>
        <c:smooth val="0"/>
        <c:axId val="313363072"/>
        <c:axId val="313377152"/>
      </c:lineChart>
      <c:catAx>
        <c:axId val="31336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377152"/>
        <c:crosses val="autoZero"/>
        <c:auto val="1"/>
        <c:lblAlgn val="ctr"/>
        <c:lblOffset val="100"/>
        <c:tickLblSkip val="1"/>
        <c:tickMarkSkip val="1"/>
        <c:noMultiLvlLbl val="0"/>
      </c:catAx>
      <c:valAx>
        <c:axId val="3133771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65+ population (£)</a:t>
                </a:r>
              </a:p>
            </c:rich>
          </c:tx>
          <c:layout>
            <c:manualLayout>
              <c:xMode val="edge"/>
              <c:yMode val="edge"/>
              <c:x val="2.9605263157894735E-2"/>
              <c:y val="0.244445202273072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13363072"/>
        <c:crosses val="autoZero"/>
        <c:crossBetween val="between"/>
      </c:valAx>
      <c:spPr>
        <a:noFill/>
        <a:ln w="25400">
          <a:noFill/>
        </a:ln>
      </c:spPr>
    </c:plotArea>
    <c:legend>
      <c:legendPos val="b"/>
      <c:layout>
        <c:manualLayout>
          <c:xMode val="edge"/>
          <c:yMode val="edge"/>
          <c:x val="0.15131578947368421"/>
          <c:y val="0.91746316177815534"/>
          <c:w val="0.60855263157894735"/>
          <c:h val="7.301609938026841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Learning disability services 
(per head of population aged 18-64)</a:t>
            </a:r>
          </a:p>
        </c:rich>
      </c:tx>
      <c:layout>
        <c:manualLayout>
          <c:xMode val="edge"/>
          <c:yMode val="edge"/>
          <c:x val="0.23190789473684212"/>
          <c:y val="3.5842419363307024E-2"/>
        </c:manualLayout>
      </c:layout>
      <c:overlay val="0"/>
      <c:spPr>
        <a:noFill/>
        <a:ln w="25400">
          <a:noFill/>
        </a:ln>
      </c:spPr>
    </c:title>
    <c:autoTitleDeleted val="0"/>
    <c:plotArea>
      <c:layout>
        <c:manualLayout>
          <c:layoutTarget val="inner"/>
          <c:xMode val="edge"/>
          <c:yMode val="edge"/>
          <c:x val="0.12883435688599298"/>
          <c:y val="0.17594251831634286"/>
          <c:w val="0.82236842105263153"/>
          <c:h val="0.60215264530355794"/>
        </c:manualLayout>
      </c:layout>
      <c:lineChart>
        <c:grouping val="standard"/>
        <c:varyColors val="0"/>
        <c:ser>
          <c:idx val="0"/>
          <c:order val="0"/>
          <c:tx>
            <c:strRef>
              <c:f>Cover!$M$810:$N$810</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Cover!$O$809:$X$809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Cover!$O$810:$X$810</c:f>
              <c:numCache>
                <c:formatCode>_-* #,##0_-;\-* #,##0_-;_-* "-"??_-;_-@_-</c:formatCode>
                <c:ptCount val="10"/>
                <c:pt idx="0">
                  <c:v>205.739506388069</c:v>
                </c:pt>
                <c:pt idx="1">
                  <c:v>224.64425768759114</c:v>
                </c:pt>
                <c:pt idx="2">
                  <c:v>214.51788524981669</c:v>
                </c:pt>
                <c:pt idx="3">
                  <c:v>211.44612970496567</c:v>
                </c:pt>
                <c:pt idx="4">
                  <c:v>207.53214746747594</c:v>
                </c:pt>
                <c:pt idx="5">
                  <c:v>215.43747219074956</c:v>
                </c:pt>
                <c:pt idx="6">
                  <c:v>206.38777430846557</c:v>
                </c:pt>
                <c:pt idx="7">
                  <c:v>197.21636276577848</c:v>
                </c:pt>
                <c:pt idx="8">
                  <c:v>189.03797248029755</c:v>
                </c:pt>
                <c:pt idx="9">
                  <c:v>193.59050458511257</c:v>
                </c:pt>
              </c:numCache>
            </c:numRef>
          </c:val>
          <c:smooth val="0"/>
        </c:ser>
        <c:ser>
          <c:idx val="1"/>
          <c:order val="1"/>
          <c:tx>
            <c:strRef>
              <c:f>Cover!$M$811:$N$811</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Cover!$O$809:$X$809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Cover!$O$811:$X$811</c:f>
              <c:numCache>
                <c:formatCode>_-* #,##0_-;\-* #,##0_-;_-* "-"??_-;_-@_-</c:formatCode>
                <c:ptCount val="10"/>
                <c:pt idx="0">
                  <c:v>175.55222051845143</c:v>
                </c:pt>
                <c:pt idx="1">
                  <c:v>179.33738727845005</c:v>
                </c:pt>
                <c:pt idx="2">
                  <c:v>184.78288386532901</c:v>
                </c:pt>
                <c:pt idx="3">
                  <c:v>199.58991320888421</c:v>
                </c:pt>
                <c:pt idx="4">
                  <c:v>205.08427187059277</c:v>
                </c:pt>
                <c:pt idx="5">
                  <c:v>204.77185620886385</c:v>
                </c:pt>
                <c:pt idx="6">
                  <c:v>202.08628154291691</c:v>
                </c:pt>
                <c:pt idx="7">
                  <c:v>207.94832484172468</c:v>
                </c:pt>
                <c:pt idx="8">
                  <c:v>201.62917686448893</c:v>
                </c:pt>
                <c:pt idx="9">
                  <c:v>201.21997499722059</c:v>
                </c:pt>
              </c:numCache>
            </c:numRef>
          </c:val>
          <c:smooth val="0"/>
        </c:ser>
        <c:ser>
          <c:idx val="2"/>
          <c:order val="2"/>
          <c:tx>
            <c:strRef>
              <c:f>Cover!$N$812</c:f>
              <c:strCache>
                <c:ptCount val="1"/>
                <c:pt idx="0">
                  <c:v>Min</c:v>
                </c:pt>
              </c:strCache>
            </c:strRef>
          </c:tx>
          <c:spPr>
            <a:ln w="25400">
              <a:solidFill>
                <a:srgbClr val="000000"/>
              </a:solidFill>
              <a:prstDash val="sysDash"/>
            </a:ln>
          </c:spPr>
          <c:marker>
            <c:symbol val="none"/>
          </c:marker>
          <c:cat>
            <c:strRef>
              <c:f>Cover!$O$809:$X$809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Cover!$O$812:$X$812</c:f>
              <c:numCache>
                <c:formatCode>#,##0</c:formatCode>
                <c:ptCount val="10"/>
                <c:pt idx="0">
                  <c:v>114.35583424194054</c:v>
                </c:pt>
                <c:pt idx="1">
                  <c:v>115.80674615780133</c:v>
                </c:pt>
                <c:pt idx="2">
                  <c:v>125.7259207375746</c:v>
                </c:pt>
                <c:pt idx="3">
                  <c:v>127.63015402767557</c:v>
                </c:pt>
                <c:pt idx="4">
                  <c:v>135.8155803857403</c:v>
                </c:pt>
                <c:pt idx="5">
                  <c:v>137.74937734962151</c:v>
                </c:pt>
                <c:pt idx="6">
                  <c:v>120.36373167784988</c:v>
                </c:pt>
                <c:pt idx="7">
                  <c:v>124.3220354253383</c:v>
                </c:pt>
                <c:pt idx="8">
                  <c:v>127.36730188330478</c:v>
                </c:pt>
                <c:pt idx="9">
                  <c:v>135.57537313432837</c:v>
                </c:pt>
              </c:numCache>
            </c:numRef>
          </c:val>
          <c:smooth val="0"/>
        </c:ser>
        <c:ser>
          <c:idx val="3"/>
          <c:order val="3"/>
          <c:tx>
            <c:strRef>
              <c:f>Cover!$N$813</c:f>
              <c:strCache>
                <c:ptCount val="1"/>
                <c:pt idx="0">
                  <c:v>Max</c:v>
                </c:pt>
              </c:strCache>
            </c:strRef>
          </c:tx>
          <c:spPr>
            <a:ln w="25400">
              <a:solidFill>
                <a:srgbClr val="000000"/>
              </a:solidFill>
              <a:prstDash val="sysDash"/>
            </a:ln>
          </c:spPr>
          <c:marker>
            <c:symbol val="none"/>
          </c:marker>
          <c:cat>
            <c:strRef>
              <c:f>Cover!$O$809:$X$809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Cover!$O$813:$X$813</c:f>
              <c:numCache>
                <c:formatCode>#,##0</c:formatCode>
                <c:ptCount val="10"/>
                <c:pt idx="0">
                  <c:v>260.04125337351007</c:v>
                </c:pt>
                <c:pt idx="1">
                  <c:v>282.5596496367171</c:v>
                </c:pt>
                <c:pt idx="2">
                  <c:v>295.7516247066855</c:v>
                </c:pt>
                <c:pt idx="3">
                  <c:v>339.21353412579413</c:v>
                </c:pt>
                <c:pt idx="4">
                  <c:v>381.04108170479014</c:v>
                </c:pt>
                <c:pt idx="5">
                  <c:v>415.20552950755769</c:v>
                </c:pt>
                <c:pt idx="6">
                  <c:v>445.54132255205076</c:v>
                </c:pt>
                <c:pt idx="7">
                  <c:v>408.42593895062595</c:v>
                </c:pt>
                <c:pt idx="8">
                  <c:v>434.75878795104114</c:v>
                </c:pt>
                <c:pt idx="9">
                  <c:v>410.50574989378276</c:v>
                </c:pt>
              </c:numCache>
            </c:numRef>
          </c:val>
          <c:smooth val="0"/>
        </c:ser>
        <c:dLbls>
          <c:showLegendKey val="0"/>
          <c:showVal val="0"/>
          <c:showCatName val="0"/>
          <c:showSerName val="0"/>
          <c:showPercent val="0"/>
          <c:showBubbleSize val="0"/>
        </c:dLbls>
        <c:marker val="1"/>
        <c:smooth val="0"/>
        <c:axId val="313396224"/>
        <c:axId val="313402112"/>
      </c:lineChart>
      <c:catAx>
        <c:axId val="31339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402112"/>
        <c:crosses val="autoZero"/>
        <c:auto val="1"/>
        <c:lblAlgn val="ctr"/>
        <c:lblOffset val="100"/>
        <c:tickLblSkip val="1"/>
        <c:tickMarkSkip val="1"/>
        <c:noMultiLvlLbl val="0"/>
      </c:catAx>
      <c:valAx>
        <c:axId val="3134021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18-64 (£)</a:t>
                </a:r>
              </a:p>
            </c:rich>
          </c:tx>
          <c:layout>
            <c:manualLayout>
              <c:xMode val="edge"/>
              <c:yMode val="edge"/>
              <c:x val="9.8684210526315784E-3"/>
              <c:y val="0.13978543551689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396224"/>
        <c:crosses val="autoZero"/>
        <c:crossBetween val="between"/>
      </c:valAx>
      <c:spPr>
        <a:noFill/>
        <a:ln w="25400">
          <a:noFill/>
        </a:ln>
      </c:spPr>
    </c:plotArea>
    <c:legend>
      <c:legendPos val="r"/>
      <c:layout>
        <c:manualLayout>
          <c:xMode val="edge"/>
          <c:yMode val="edge"/>
          <c:x val="0.19078947368421054"/>
          <c:y val="0.88889200021001413"/>
          <c:w val="0.70559210526315785"/>
          <c:h val="8.960604840826755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Children looked after at and away from home
(rate per 1,000 population aged 0-17)</a:t>
            </a:r>
          </a:p>
        </c:rich>
      </c:tx>
      <c:layout>
        <c:manualLayout>
          <c:xMode val="edge"/>
          <c:yMode val="edge"/>
          <c:x val="0.27722816952249885"/>
          <c:y val="3.0888089119979791E-2"/>
        </c:manualLayout>
      </c:layout>
      <c:overlay val="0"/>
      <c:spPr>
        <a:noFill/>
        <a:ln w="25400">
          <a:noFill/>
        </a:ln>
      </c:spPr>
    </c:title>
    <c:autoTitleDeleted val="0"/>
    <c:plotArea>
      <c:layout>
        <c:manualLayout>
          <c:layoutTarget val="inner"/>
          <c:xMode val="edge"/>
          <c:yMode val="edge"/>
          <c:x val="9.295610141558841E-2"/>
          <c:y val="0.21504374758708492"/>
          <c:w val="0.86798819743353806"/>
          <c:h val="0.58301268213961854"/>
        </c:manualLayout>
      </c:layout>
      <c:lineChart>
        <c:grouping val="standard"/>
        <c:varyColors val="0"/>
        <c:ser>
          <c:idx val="0"/>
          <c:order val="0"/>
          <c:tx>
            <c:strRef>
              <c:f>Cover!$M$225</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Cover!$O$224:$V$224</c:f>
              <c:numCache>
                <c:formatCode>General</c:formatCode>
                <c:ptCount val="8"/>
                <c:pt idx="0">
                  <c:v>2008</c:v>
                </c:pt>
                <c:pt idx="1">
                  <c:v>2009</c:v>
                </c:pt>
                <c:pt idx="2">
                  <c:v>2010</c:v>
                </c:pt>
                <c:pt idx="3">
                  <c:v>2011</c:v>
                </c:pt>
                <c:pt idx="4">
                  <c:v>2012</c:v>
                </c:pt>
                <c:pt idx="5">
                  <c:v>2013</c:v>
                </c:pt>
                <c:pt idx="6">
                  <c:v>2014</c:v>
                </c:pt>
                <c:pt idx="7">
                  <c:v>2015</c:v>
                </c:pt>
              </c:numCache>
            </c:numRef>
          </c:cat>
          <c:val>
            <c:numRef>
              <c:f>Cover!$O$225:$V$225</c:f>
              <c:numCache>
                <c:formatCode>0.0</c:formatCode>
                <c:ptCount val="8"/>
                <c:pt idx="0">
                  <c:v>17.284609229127767</c:v>
                </c:pt>
                <c:pt idx="1">
                  <c:v>18.568552659461751</c:v>
                </c:pt>
                <c:pt idx="2">
                  <c:v>18.115846764651749</c:v>
                </c:pt>
                <c:pt idx="3">
                  <c:v>16.667099353565771</c:v>
                </c:pt>
                <c:pt idx="4">
                  <c:v>16.520335877027435</c:v>
                </c:pt>
                <c:pt idx="5">
                  <c:v>16.26496322937356</c:v>
                </c:pt>
                <c:pt idx="6">
                  <c:v>15.438540161609676</c:v>
                </c:pt>
                <c:pt idx="7">
                  <c:v>14.604948124501197</c:v>
                </c:pt>
              </c:numCache>
            </c:numRef>
          </c:val>
          <c:smooth val="0"/>
        </c:ser>
        <c:ser>
          <c:idx val="1"/>
          <c:order val="1"/>
          <c:tx>
            <c:strRef>
              <c:f>Cover!$M$226</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Cover!$O$224:$V$224</c:f>
              <c:numCache>
                <c:formatCode>General</c:formatCode>
                <c:ptCount val="8"/>
                <c:pt idx="0">
                  <c:v>2008</c:v>
                </c:pt>
                <c:pt idx="1">
                  <c:v>2009</c:v>
                </c:pt>
                <c:pt idx="2">
                  <c:v>2010</c:v>
                </c:pt>
                <c:pt idx="3">
                  <c:v>2011</c:v>
                </c:pt>
                <c:pt idx="4">
                  <c:v>2012</c:v>
                </c:pt>
                <c:pt idx="5">
                  <c:v>2013</c:v>
                </c:pt>
                <c:pt idx="6">
                  <c:v>2014</c:v>
                </c:pt>
                <c:pt idx="7">
                  <c:v>2015</c:v>
                </c:pt>
              </c:numCache>
            </c:numRef>
          </c:cat>
          <c:val>
            <c:numRef>
              <c:f>Cover!$O$226:$V$226</c:f>
              <c:numCache>
                <c:formatCode>0.0</c:formatCode>
                <c:ptCount val="8"/>
                <c:pt idx="0">
                  <c:v>13.967827215208604</c:v>
                </c:pt>
                <c:pt idx="1">
                  <c:v>14.479393091471398</c:v>
                </c:pt>
                <c:pt idx="2">
                  <c:v>15.072729662897844</c:v>
                </c:pt>
                <c:pt idx="3">
                  <c:v>15.478316000844062</c:v>
                </c:pt>
                <c:pt idx="4">
                  <c:v>15.443478194112036</c:v>
                </c:pt>
                <c:pt idx="5">
                  <c:v>15.291815604585233</c:v>
                </c:pt>
                <c:pt idx="6">
                  <c:v>15.047411903101622</c:v>
                </c:pt>
                <c:pt idx="7">
                  <c:v>14.909265831900061</c:v>
                </c:pt>
              </c:numCache>
            </c:numRef>
          </c:val>
          <c:smooth val="0"/>
        </c:ser>
        <c:ser>
          <c:idx val="2"/>
          <c:order val="2"/>
          <c:tx>
            <c:strRef>
              <c:f>Cover!$N$227</c:f>
              <c:strCache>
                <c:ptCount val="1"/>
                <c:pt idx="0">
                  <c:v>Min</c:v>
                </c:pt>
              </c:strCache>
            </c:strRef>
          </c:tx>
          <c:spPr>
            <a:ln w="25400">
              <a:solidFill>
                <a:srgbClr val="000000"/>
              </a:solidFill>
              <a:prstDash val="sysDash"/>
            </a:ln>
          </c:spPr>
          <c:marker>
            <c:symbol val="none"/>
          </c:marker>
          <c:cat>
            <c:numRef>
              <c:f>Cover!$O$224:$V$224</c:f>
              <c:numCache>
                <c:formatCode>General</c:formatCode>
                <c:ptCount val="8"/>
                <c:pt idx="0">
                  <c:v>2008</c:v>
                </c:pt>
                <c:pt idx="1">
                  <c:v>2009</c:v>
                </c:pt>
                <c:pt idx="2">
                  <c:v>2010</c:v>
                </c:pt>
                <c:pt idx="3">
                  <c:v>2011</c:v>
                </c:pt>
                <c:pt idx="4">
                  <c:v>2012</c:v>
                </c:pt>
                <c:pt idx="5">
                  <c:v>2013</c:v>
                </c:pt>
                <c:pt idx="6">
                  <c:v>2014</c:v>
                </c:pt>
                <c:pt idx="7">
                  <c:v>2015</c:v>
                </c:pt>
              </c:numCache>
            </c:numRef>
          </c:cat>
          <c:val>
            <c:numRef>
              <c:f>Cover!$O$227:$V$227</c:f>
              <c:numCache>
                <c:formatCode>0.0</c:formatCode>
                <c:ptCount val="8"/>
                <c:pt idx="0">
                  <c:v>4.6183223056085971</c:v>
                </c:pt>
                <c:pt idx="1">
                  <c:v>5.7964502359020447</c:v>
                </c:pt>
                <c:pt idx="2">
                  <c:v>6.180186778978209</c:v>
                </c:pt>
                <c:pt idx="3">
                  <c:v>4.5500505561172906</c:v>
                </c:pt>
                <c:pt idx="4">
                  <c:v>6.0760486083888665</c:v>
                </c:pt>
                <c:pt idx="5">
                  <c:v>5.9880239520958085</c:v>
                </c:pt>
                <c:pt idx="6">
                  <c:v>6.2753036437246958</c:v>
                </c:pt>
                <c:pt idx="7">
                  <c:v>7.0419138571359667</c:v>
                </c:pt>
              </c:numCache>
            </c:numRef>
          </c:val>
          <c:smooth val="0"/>
        </c:ser>
        <c:ser>
          <c:idx val="3"/>
          <c:order val="3"/>
          <c:tx>
            <c:strRef>
              <c:f>Cover!$N$228</c:f>
              <c:strCache>
                <c:ptCount val="1"/>
                <c:pt idx="0">
                  <c:v>Max</c:v>
                </c:pt>
              </c:strCache>
            </c:strRef>
          </c:tx>
          <c:spPr>
            <a:ln w="25400">
              <a:solidFill>
                <a:srgbClr val="000000"/>
              </a:solidFill>
              <a:prstDash val="sysDash"/>
            </a:ln>
          </c:spPr>
          <c:marker>
            <c:symbol val="none"/>
          </c:marker>
          <c:cat>
            <c:numRef>
              <c:f>Cover!$O$224:$V$224</c:f>
              <c:numCache>
                <c:formatCode>General</c:formatCode>
                <c:ptCount val="8"/>
                <c:pt idx="0">
                  <c:v>2008</c:v>
                </c:pt>
                <c:pt idx="1">
                  <c:v>2009</c:v>
                </c:pt>
                <c:pt idx="2">
                  <c:v>2010</c:v>
                </c:pt>
                <c:pt idx="3">
                  <c:v>2011</c:v>
                </c:pt>
                <c:pt idx="4">
                  <c:v>2012</c:v>
                </c:pt>
                <c:pt idx="5">
                  <c:v>2013</c:v>
                </c:pt>
                <c:pt idx="6">
                  <c:v>2014</c:v>
                </c:pt>
                <c:pt idx="7">
                  <c:v>2015</c:v>
                </c:pt>
              </c:numCache>
            </c:numRef>
          </c:cat>
          <c:val>
            <c:numRef>
              <c:f>Cover!$O$228:$V$228</c:f>
              <c:numCache>
                <c:formatCode>0.0</c:formatCode>
                <c:ptCount val="8"/>
                <c:pt idx="0">
                  <c:v>26.805652240735551</c:v>
                </c:pt>
                <c:pt idx="1">
                  <c:v>28.847723932724932</c:v>
                </c:pt>
                <c:pt idx="2">
                  <c:v>31.26839917028234</c:v>
                </c:pt>
                <c:pt idx="3">
                  <c:v>33.970796556608917</c:v>
                </c:pt>
                <c:pt idx="4">
                  <c:v>33.682986908748717</c:v>
                </c:pt>
                <c:pt idx="5">
                  <c:v>32.955611559757919</c:v>
                </c:pt>
                <c:pt idx="6">
                  <c:v>32.108200236413111</c:v>
                </c:pt>
                <c:pt idx="7">
                  <c:v>31.213957490434431</c:v>
                </c:pt>
              </c:numCache>
            </c:numRef>
          </c:val>
          <c:smooth val="0"/>
        </c:ser>
        <c:dLbls>
          <c:showLegendKey val="0"/>
          <c:showVal val="0"/>
          <c:showCatName val="0"/>
          <c:showSerName val="0"/>
          <c:showPercent val="0"/>
          <c:showBubbleSize val="0"/>
        </c:dLbls>
        <c:marker val="1"/>
        <c:smooth val="0"/>
        <c:axId val="313425280"/>
        <c:axId val="313431168"/>
      </c:lineChart>
      <c:catAx>
        <c:axId val="313425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3431168"/>
        <c:crosses val="autoZero"/>
        <c:auto val="1"/>
        <c:lblAlgn val="ctr"/>
        <c:lblOffset val="100"/>
        <c:tickLblSkip val="1"/>
        <c:tickMarkSkip val="1"/>
        <c:noMultiLvlLbl val="0"/>
      </c:catAx>
      <c:valAx>
        <c:axId val="31343116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aged 0-17</a:t>
                </a:r>
              </a:p>
            </c:rich>
          </c:tx>
          <c:layout>
            <c:manualLayout>
              <c:xMode val="edge"/>
              <c:yMode val="edge"/>
              <c:x val="1.3201341405833279E-2"/>
              <c:y val="0.2355216795398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3425280"/>
        <c:crosses val="autoZero"/>
        <c:crossBetween val="between"/>
      </c:valAx>
      <c:spPr>
        <a:noFill/>
        <a:ln w="25400">
          <a:noFill/>
        </a:ln>
      </c:spPr>
    </c:plotArea>
    <c:legend>
      <c:legendPos val="r"/>
      <c:layout>
        <c:manualLayout>
          <c:xMode val="edge"/>
          <c:yMode val="edge"/>
          <c:x val="0.24092448065645733"/>
          <c:y val="0.8996155956194114"/>
          <c:w val="0.61056204001978909"/>
          <c:h val="8.880325621994189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Children aged 0-17 looked after away from home, 2015
(rate per 1,000 population aged 0-17)</a:t>
            </a:r>
          </a:p>
        </c:rich>
      </c:tx>
      <c:layout>
        <c:manualLayout>
          <c:xMode val="edge"/>
          <c:yMode val="edge"/>
          <c:x val="0.21854322303072538"/>
          <c:y val="3.6912812160516992E-2"/>
        </c:manualLayout>
      </c:layout>
      <c:overlay val="0"/>
      <c:spPr>
        <a:noFill/>
        <a:ln w="25400">
          <a:noFill/>
        </a:ln>
      </c:spPr>
    </c:title>
    <c:autoTitleDeleted val="0"/>
    <c:plotArea>
      <c:layout>
        <c:manualLayout>
          <c:layoutTarget val="inner"/>
          <c:xMode val="edge"/>
          <c:yMode val="edge"/>
          <c:x val="0.10430472008284619"/>
          <c:y val="0.17785264040976367"/>
          <c:w val="0.875828522600407"/>
          <c:h val="0.48993368867595277"/>
        </c:manualLayout>
      </c:layout>
      <c:barChart>
        <c:barDir val="col"/>
        <c:grouping val="clustered"/>
        <c:varyColors val="0"/>
        <c:ser>
          <c:idx val="1"/>
          <c:order val="0"/>
          <c:tx>
            <c:strRef>
              <c:f>'Per Capita Data - C&amp;F'!$C$2</c:f>
              <c:strCache>
                <c:ptCount val="1"/>
                <c:pt idx="0">
                  <c:v>C&amp;F Spend per Capita</c:v>
                </c:pt>
              </c:strCache>
            </c:strRef>
          </c:tx>
          <c:spPr>
            <a:solidFill>
              <a:srgbClr val="0000FF"/>
            </a:solidFill>
            <a:ln w="12700">
              <a:solidFill>
                <a:srgbClr val="000000"/>
              </a:solidFill>
              <a:prstDash val="solid"/>
            </a:ln>
          </c:spPr>
          <c:invertIfNegative val="0"/>
          <c:cat>
            <c:strRef>
              <c:f>'Statistics - Children'!$A$140:$A$171</c:f>
              <c:strCache>
                <c:ptCount val="32"/>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Inverclyde</c:v>
                </c:pt>
                <c:pt idx="13">
                  <c:v>Dumfries &amp; Galloway</c:v>
                </c:pt>
                <c:pt idx="14">
                  <c:v>Stirling</c:v>
                </c:pt>
                <c:pt idx="15">
                  <c:v>Moray</c:v>
                </c:pt>
                <c:pt idx="16">
                  <c:v>Scottish Borders</c:v>
                </c:pt>
                <c:pt idx="17">
                  <c:v>West Lothian</c:v>
                </c:pt>
                <c:pt idx="18">
                  <c:v>Falkirk</c:v>
                </c:pt>
                <c:pt idx="19">
                  <c:v>Argyll &amp; Bute</c:v>
                </c:pt>
                <c:pt idx="20">
                  <c:v>Perth &amp; Kinross</c:v>
                </c:pt>
                <c:pt idx="21">
                  <c:v>Angus</c:v>
                </c:pt>
                <c:pt idx="22">
                  <c:v>East Lothian</c:v>
                </c:pt>
                <c:pt idx="23">
                  <c:v>Highland</c:v>
                </c:pt>
                <c:pt idx="24">
                  <c:v>Orkney Islands</c:v>
                </c:pt>
                <c:pt idx="25">
                  <c:v>North Lanarkshire</c:v>
                </c:pt>
                <c:pt idx="26">
                  <c:v>South Lanarkshire</c:v>
                </c:pt>
                <c:pt idx="27">
                  <c:v>East Dunbartonshire</c:v>
                </c:pt>
                <c:pt idx="28">
                  <c:v>Eilean Siar</c:v>
                </c:pt>
                <c:pt idx="29">
                  <c:v>Aberdeenshire</c:v>
                </c:pt>
                <c:pt idx="30">
                  <c:v>Shetland Islands</c:v>
                </c:pt>
                <c:pt idx="31">
                  <c:v>East Renfrewshire</c:v>
                </c:pt>
              </c:strCache>
            </c:strRef>
          </c:cat>
          <c:val>
            <c:numRef>
              <c:f>'Statistics - Children'!$B$140:$B$171</c:f>
              <c:numCache>
                <c:formatCode>0.0</c:formatCode>
                <c:ptCount val="32"/>
                <c:pt idx="0">
                  <c:v>24.467715065082476</c:v>
                </c:pt>
                <c:pt idx="1">
                  <c:v>16.538362370621385</c:v>
                </c:pt>
                <c:pt idx="2">
                  <c:v>15.594212689297979</c:v>
                </c:pt>
                <c:pt idx="3">
                  <c:v>14.993456720882408</c:v>
                </c:pt>
                <c:pt idx="4">
                  <c:v>14.196762141967621</c:v>
                </c:pt>
                <c:pt idx="5">
                  <c:v>13.684006211180124</c:v>
                </c:pt>
                <c:pt idx="6">
                  <c:v>13.4968605128807</c:v>
                </c:pt>
                <c:pt idx="7">
                  <c:v>12.604197457877625</c:v>
                </c:pt>
                <c:pt idx="8">
                  <c:v>11.886127959303463</c:v>
                </c:pt>
                <c:pt idx="9">
                  <c:v>11.564597720161546</c:v>
                </c:pt>
                <c:pt idx="10">
                  <c:v>11.402508551881414</c:v>
                </c:pt>
                <c:pt idx="11">
                  <c:v>11.252992817238628</c:v>
                </c:pt>
                <c:pt idx="12">
                  <c:v>8.6770791616606591</c:v>
                </c:pt>
                <c:pt idx="13">
                  <c:v>8.6702030364002187</c:v>
                </c:pt>
                <c:pt idx="14">
                  <c:v>8.4280565566953154</c:v>
                </c:pt>
                <c:pt idx="15">
                  <c:v>8.3477713025673328</c:v>
                </c:pt>
                <c:pt idx="16">
                  <c:v>7.8958304474303924</c:v>
                </c:pt>
                <c:pt idx="17">
                  <c:v>7.7466393255866945</c:v>
                </c:pt>
                <c:pt idx="18">
                  <c:v>7.673275079081713</c:v>
                </c:pt>
                <c:pt idx="19">
                  <c:v>7.5519999999999996</c:v>
                </c:pt>
                <c:pt idx="20">
                  <c:v>7.4931638197379167</c:v>
                </c:pt>
                <c:pt idx="21">
                  <c:v>7.4630180800497534</c:v>
                </c:pt>
                <c:pt idx="22">
                  <c:v>6.8612246816109774</c:v>
                </c:pt>
                <c:pt idx="23">
                  <c:v>6.7276404889631518</c:v>
                </c:pt>
                <c:pt idx="24">
                  <c:v>6.482174021441037</c:v>
                </c:pt>
                <c:pt idx="25">
                  <c:v>5.983617936970707</c:v>
                </c:pt>
                <c:pt idx="26">
                  <c:v>5.8194678884334055</c:v>
                </c:pt>
                <c:pt idx="27">
                  <c:v>5.7965505772794224</c:v>
                </c:pt>
                <c:pt idx="28">
                  <c:v>5.7596822244289978</c:v>
                </c:pt>
                <c:pt idx="29">
                  <c:v>5.4979177321545984</c:v>
                </c:pt>
                <c:pt idx="30">
                  <c:v>4.7169811320754711</c:v>
                </c:pt>
                <c:pt idx="31">
                  <c:v>3.4244923551825592</c:v>
                </c:pt>
              </c:numCache>
            </c:numRef>
          </c:val>
        </c:ser>
        <c:ser>
          <c:idx val="0"/>
          <c:order val="1"/>
          <c:tx>
            <c:strRef>
              <c:f>'Per Capita Data - C&amp;F'!$D$2</c:f>
              <c:strCache>
                <c:ptCount val="1"/>
                <c:pt idx="0">
                  <c:v>Highlight</c:v>
                </c:pt>
              </c:strCache>
            </c:strRef>
          </c:tx>
          <c:spPr>
            <a:solidFill>
              <a:srgbClr val="FFFF00"/>
            </a:solidFill>
            <a:ln w="12700">
              <a:solidFill>
                <a:srgbClr val="000000"/>
              </a:solidFill>
              <a:prstDash val="solid"/>
            </a:ln>
          </c:spPr>
          <c:invertIfNegative val="0"/>
          <c:cat>
            <c:strRef>
              <c:f>'Statistics - Children'!$A$140:$A$1722</c:f>
              <c:strCache>
                <c:ptCount val="125"/>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Inverclyde</c:v>
                </c:pt>
                <c:pt idx="13">
                  <c:v>Dumfries &amp; Galloway</c:v>
                </c:pt>
                <c:pt idx="14">
                  <c:v>Stirling</c:v>
                </c:pt>
                <c:pt idx="15">
                  <c:v>Moray</c:v>
                </c:pt>
                <c:pt idx="16">
                  <c:v>Scottish Borders</c:v>
                </c:pt>
                <c:pt idx="17">
                  <c:v>West Lothian</c:v>
                </c:pt>
                <c:pt idx="18">
                  <c:v>Falkirk</c:v>
                </c:pt>
                <c:pt idx="19">
                  <c:v>Argyll &amp; Bute</c:v>
                </c:pt>
                <c:pt idx="20">
                  <c:v>Perth &amp; Kinross</c:v>
                </c:pt>
                <c:pt idx="21">
                  <c:v>Angus</c:v>
                </c:pt>
                <c:pt idx="22">
                  <c:v>East Lothian</c:v>
                </c:pt>
                <c:pt idx="23">
                  <c:v>Highland</c:v>
                </c:pt>
                <c:pt idx="24">
                  <c:v>Orkney Islands</c:v>
                </c:pt>
                <c:pt idx="25">
                  <c:v>North Lanarkshire</c:v>
                </c:pt>
                <c:pt idx="26">
                  <c:v>South Lanarkshire</c:v>
                </c:pt>
                <c:pt idx="27">
                  <c:v>East Dunbartonshire</c:v>
                </c:pt>
                <c:pt idx="28">
                  <c:v>Eilean Siar</c:v>
                </c:pt>
                <c:pt idx="29">
                  <c:v>Aberdeenshire</c:v>
                </c:pt>
                <c:pt idx="30">
                  <c:v>Shetland Islands</c:v>
                </c:pt>
                <c:pt idx="31">
                  <c:v>East Renfrewshire</c:v>
                </c:pt>
                <c:pt idx="33">
                  <c:v>Aberdeen City</c:v>
                </c:pt>
                <c:pt idx="37">
                  <c:v>Children looked after away from home by placements, 2014, 0-17 years</c:v>
                </c:pt>
                <c:pt idx="41">
                  <c:v>Aberdeen City</c:v>
                </c:pt>
                <c:pt idx="42">
                  <c:v>Aberdeenshire</c:v>
                </c:pt>
                <c:pt idx="43">
                  <c:v>Angus</c:v>
                </c:pt>
                <c:pt idx="44">
                  <c:v>Argyll &amp; Bute</c:v>
                </c:pt>
                <c:pt idx="45">
                  <c:v>Clackmannanshire</c:v>
                </c:pt>
                <c:pt idx="46">
                  <c:v>Dumfries &amp; Galloway</c:v>
                </c:pt>
                <c:pt idx="47">
                  <c:v>Dundee City</c:v>
                </c:pt>
                <c:pt idx="48">
                  <c:v>East Ayrshire</c:v>
                </c:pt>
                <c:pt idx="49">
                  <c:v>East Dunbartonshire</c:v>
                </c:pt>
                <c:pt idx="50">
                  <c:v>East Lothian</c:v>
                </c:pt>
                <c:pt idx="51">
                  <c:v>East Renfrewshire</c:v>
                </c:pt>
                <c:pt idx="52">
                  <c:v>Edinburgh</c:v>
                </c:pt>
                <c:pt idx="53">
                  <c:v>Eilean Siar</c:v>
                </c:pt>
                <c:pt idx="54">
                  <c:v>Falkirk</c:v>
                </c:pt>
                <c:pt idx="55">
                  <c:v>Fife</c:v>
                </c:pt>
                <c:pt idx="56">
                  <c:v>Glasgow City</c:v>
                </c:pt>
                <c:pt idx="57">
                  <c:v>Highland</c:v>
                </c:pt>
                <c:pt idx="58">
                  <c:v>Inverclyde</c:v>
                </c:pt>
                <c:pt idx="59">
                  <c:v>Midlothian</c:v>
                </c:pt>
                <c:pt idx="60">
                  <c:v>Moray</c:v>
                </c:pt>
                <c:pt idx="61">
                  <c:v>North Ayrshire</c:v>
                </c:pt>
                <c:pt idx="62">
                  <c:v>North Lanarkshire</c:v>
                </c:pt>
                <c:pt idx="63">
                  <c:v>Orkney Islands</c:v>
                </c:pt>
                <c:pt idx="64">
                  <c:v>Perth &amp; Kinross</c:v>
                </c:pt>
                <c:pt idx="65">
                  <c:v>Renfrewshire</c:v>
                </c:pt>
                <c:pt idx="66">
                  <c:v>Scottish Borders</c:v>
                </c:pt>
                <c:pt idx="67">
                  <c:v>Shetland Islands</c:v>
                </c:pt>
                <c:pt idx="68">
                  <c:v>South Ayrshire</c:v>
                </c:pt>
                <c:pt idx="69">
                  <c:v>South Lanarkshire</c:v>
                </c:pt>
                <c:pt idx="70">
                  <c:v>Stirling</c:v>
                </c:pt>
                <c:pt idx="71">
                  <c:v>West Dunbartonshire</c:v>
                </c:pt>
                <c:pt idx="72">
                  <c:v>West Lothian</c:v>
                </c:pt>
                <c:pt idx="73">
                  <c:v>Scotland</c:v>
                </c:pt>
                <c:pt idx="76">
                  <c:v>Source:</c:v>
                </c:pt>
                <c:pt idx="78">
                  <c:v>http://www.scotland.gov.uk/Topics/Statistics/Browse/Children/PubChildrenSocialWork</c:v>
                </c:pt>
                <c:pt idx="85">
                  <c:v>Children looked after in residential placements (breakdown) - 0-17 years</c:v>
                </c:pt>
                <c:pt idx="88">
                  <c:v>Local Authority</c:v>
                </c:pt>
                <c:pt idx="89">
                  <c:v>Aberdeen City</c:v>
                </c:pt>
                <c:pt idx="90">
                  <c:v>Aberdeenshire</c:v>
                </c:pt>
                <c:pt idx="91">
                  <c:v>Angus</c:v>
                </c:pt>
                <c:pt idx="92">
                  <c:v>Argyll &amp; Bute</c:v>
                </c:pt>
                <c:pt idx="93">
                  <c:v>Clackmannanshire</c:v>
                </c:pt>
                <c:pt idx="94">
                  <c:v>Dumfries &amp; Galloway</c:v>
                </c:pt>
                <c:pt idx="95">
                  <c:v>Dundee City</c:v>
                </c:pt>
                <c:pt idx="96">
                  <c:v>East Ayrshire</c:v>
                </c:pt>
                <c:pt idx="97">
                  <c:v>East Dunbartonshire</c:v>
                </c:pt>
                <c:pt idx="98">
                  <c:v>East Lothian</c:v>
                </c:pt>
                <c:pt idx="99">
                  <c:v>East Renfrewshire</c:v>
                </c:pt>
                <c:pt idx="100">
                  <c:v>Edinburgh</c:v>
                </c:pt>
                <c:pt idx="101">
                  <c:v>Eilean Siar</c:v>
                </c:pt>
                <c:pt idx="102">
                  <c:v>Falkirk</c:v>
                </c:pt>
                <c:pt idx="103">
                  <c:v>Fife</c:v>
                </c:pt>
                <c:pt idx="104">
                  <c:v>Glasgow City</c:v>
                </c:pt>
                <c:pt idx="105">
                  <c:v>Highland</c:v>
                </c:pt>
                <c:pt idx="106">
                  <c:v>Inverclyde</c:v>
                </c:pt>
                <c:pt idx="107">
                  <c:v>Midlothian</c:v>
                </c:pt>
                <c:pt idx="108">
                  <c:v>Moray</c:v>
                </c:pt>
                <c:pt idx="109">
                  <c:v>North Ayrshire</c:v>
                </c:pt>
                <c:pt idx="110">
                  <c:v>North Lanarkshire</c:v>
                </c:pt>
                <c:pt idx="111">
                  <c:v>Orkney Islands</c:v>
                </c:pt>
                <c:pt idx="112">
                  <c:v>Perth &amp; Kinross</c:v>
                </c:pt>
                <c:pt idx="113">
                  <c:v>Renfrewshire</c:v>
                </c:pt>
                <c:pt idx="114">
                  <c:v>Scottish Borders</c:v>
                </c:pt>
                <c:pt idx="115">
                  <c:v>Shetland Islands</c:v>
                </c:pt>
                <c:pt idx="116">
                  <c:v>South Ayrshire</c:v>
                </c:pt>
                <c:pt idx="117">
                  <c:v>South Lanarkshire</c:v>
                </c:pt>
                <c:pt idx="118">
                  <c:v>Stirling</c:v>
                </c:pt>
                <c:pt idx="119">
                  <c:v>West Dunbartonshire</c:v>
                </c:pt>
                <c:pt idx="120">
                  <c:v>West Lothian</c:v>
                </c:pt>
                <c:pt idx="121">
                  <c:v>Scotland</c:v>
                </c:pt>
                <c:pt idx="123">
                  <c:v>Source:</c:v>
                </c:pt>
                <c:pt idx="124">
                  <c:v>http://www.scotland.gov.uk/Topics/Statistics/Browse/Children/PubChildrenSocialWork</c:v>
                </c:pt>
              </c:strCache>
            </c:strRef>
          </c:cat>
          <c:val>
            <c:numRef>
              <c:f>'Statistics - Children'!$C$140:$C$171</c:f>
              <c:numCache>
                <c:formatCode>General</c:formatCode>
                <c:ptCount val="32"/>
                <c:pt idx="0">
                  <c:v>0</c:v>
                </c:pt>
                <c:pt idx="1">
                  <c:v>0</c:v>
                </c:pt>
                <c:pt idx="2">
                  <c:v>0</c:v>
                </c:pt>
                <c:pt idx="3">
                  <c:v>0</c:v>
                </c:pt>
                <c:pt idx="4">
                  <c:v>0</c:v>
                </c:pt>
                <c:pt idx="5">
                  <c:v>0</c:v>
                </c:pt>
                <c:pt idx="6">
                  <c:v>0</c:v>
                </c:pt>
                <c:pt idx="7">
                  <c:v>0</c:v>
                </c:pt>
                <c:pt idx="8">
                  <c:v>0</c:v>
                </c:pt>
                <c:pt idx="9">
                  <c:v>0</c:v>
                </c:pt>
                <c:pt idx="10">
                  <c:v>0</c:v>
                </c:pt>
                <c:pt idx="11" formatCode="0.0">
                  <c:v>11.252992817238628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3447936"/>
        <c:axId val="313449472"/>
      </c:barChart>
      <c:lineChart>
        <c:grouping val="standard"/>
        <c:varyColors val="0"/>
        <c:ser>
          <c:idx val="2"/>
          <c:order val="2"/>
          <c:tx>
            <c:strRef>
              <c:f>'Per Capita Data - C&amp;F'!$E$2</c:f>
              <c:strCache>
                <c:ptCount val="1"/>
                <c:pt idx="0">
                  <c:v>Average Spend per Capita</c:v>
                </c:pt>
              </c:strCache>
            </c:strRef>
          </c:tx>
          <c:spPr>
            <a:ln w="25400">
              <a:solidFill>
                <a:srgbClr val="FF0000"/>
              </a:solidFill>
              <a:prstDash val="solid"/>
            </a:ln>
          </c:spPr>
          <c:marker>
            <c:symbol val="none"/>
          </c:marker>
          <c:cat>
            <c:strRef>
              <c:f>'Statistics - Children'!$A$140:$A$171</c:f>
              <c:strCache>
                <c:ptCount val="32"/>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Inverclyde</c:v>
                </c:pt>
                <c:pt idx="13">
                  <c:v>Dumfries &amp; Galloway</c:v>
                </c:pt>
                <c:pt idx="14">
                  <c:v>Stirling</c:v>
                </c:pt>
                <c:pt idx="15">
                  <c:v>Moray</c:v>
                </c:pt>
                <c:pt idx="16">
                  <c:v>Scottish Borders</c:v>
                </c:pt>
                <c:pt idx="17">
                  <c:v>West Lothian</c:v>
                </c:pt>
                <c:pt idx="18">
                  <c:v>Falkirk</c:v>
                </c:pt>
                <c:pt idx="19">
                  <c:v>Argyll &amp; Bute</c:v>
                </c:pt>
                <c:pt idx="20">
                  <c:v>Perth &amp; Kinross</c:v>
                </c:pt>
                <c:pt idx="21">
                  <c:v>Angus</c:v>
                </c:pt>
                <c:pt idx="22">
                  <c:v>East Lothian</c:v>
                </c:pt>
                <c:pt idx="23">
                  <c:v>Highland</c:v>
                </c:pt>
                <c:pt idx="24">
                  <c:v>Orkney Islands</c:v>
                </c:pt>
                <c:pt idx="25">
                  <c:v>North Lanarkshire</c:v>
                </c:pt>
                <c:pt idx="26">
                  <c:v>South Lanarkshire</c:v>
                </c:pt>
                <c:pt idx="27">
                  <c:v>East Dunbartonshire</c:v>
                </c:pt>
                <c:pt idx="28">
                  <c:v>Eilean Siar</c:v>
                </c:pt>
                <c:pt idx="29">
                  <c:v>Aberdeenshire</c:v>
                </c:pt>
                <c:pt idx="30">
                  <c:v>Shetland Islands</c:v>
                </c:pt>
                <c:pt idx="31">
                  <c:v>East Renfrewshire</c:v>
                </c:pt>
              </c:strCache>
            </c:strRef>
          </c:cat>
          <c:val>
            <c:numRef>
              <c:f>'Statistics - Children'!$D$140:$D$171</c:f>
              <c:numCache>
                <c:formatCode>0.0</c:formatCode>
                <c:ptCount val="32"/>
                <c:pt idx="0">
                  <c:v>10.877066308679101</c:v>
                </c:pt>
                <c:pt idx="1">
                  <c:v>10.877066308679101</c:v>
                </c:pt>
                <c:pt idx="2">
                  <c:v>10.877066308679101</c:v>
                </c:pt>
                <c:pt idx="3">
                  <c:v>10.877066308679101</c:v>
                </c:pt>
                <c:pt idx="4">
                  <c:v>10.877066308679101</c:v>
                </c:pt>
                <c:pt idx="5">
                  <c:v>10.877066308679101</c:v>
                </c:pt>
                <c:pt idx="6">
                  <c:v>10.877066308679101</c:v>
                </c:pt>
                <c:pt idx="7">
                  <c:v>10.877066308679101</c:v>
                </c:pt>
                <c:pt idx="8">
                  <c:v>10.877066308679101</c:v>
                </c:pt>
                <c:pt idx="9">
                  <c:v>10.877066308679101</c:v>
                </c:pt>
                <c:pt idx="10">
                  <c:v>10.877066308679101</c:v>
                </c:pt>
                <c:pt idx="11">
                  <c:v>10.877066308679101</c:v>
                </c:pt>
                <c:pt idx="12">
                  <c:v>10.877066308679101</c:v>
                </c:pt>
                <c:pt idx="13">
                  <c:v>10.877066308679101</c:v>
                </c:pt>
                <c:pt idx="14">
                  <c:v>10.877066308679101</c:v>
                </c:pt>
                <c:pt idx="15">
                  <c:v>10.877066308679101</c:v>
                </c:pt>
                <c:pt idx="16">
                  <c:v>10.877066308679101</c:v>
                </c:pt>
                <c:pt idx="17">
                  <c:v>10.877066308679101</c:v>
                </c:pt>
                <c:pt idx="18">
                  <c:v>10.877066308679101</c:v>
                </c:pt>
                <c:pt idx="19">
                  <c:v>10.877066308679101</c:v>
                </c:pt>
                <c:pt idx="20">
                  <c:v>10.877066308679101</c:v>
                </c:pt>
                <c:pt idx="21">
                  <c:v>10.877066308679101</c:v>
                </c:pt>
                <c:pt idx="22">
                  <c:v>10.877066308679101</c:v>
                </c:pt>
                <c:pt idx="23">
                  <c:v>10.877066308679101</c:v>
                </c:pt>
                <c:pt idx="24">
                  <c:v>10.877066308679101</c:v>
                </c:pt>
                <c:pt idx="25">
                  <c:v>10.877066308679101</c:v>
                </c:pt>
                <c:pt idx="26">
                  <c:v>10.877066308679101</c:v>
                </c:pt>
                <c:pt idx="27">
                  <c:v>10.877066308679101</c:v>
                </c:pt>
                <c:pt idx="28">
                  <c:v>10.877066308679101</c:v>
                </c:pt>
                <c:pt idx="29">
                  <c:v>10.877066308679101</c:v>
                </c:pt>
                <c:pt idx="30">
                  <c:v>10.877066308679101</c:v>
                </c:pt>
                <c:pt idx="31">
                  <c:v>10.877066308679101</c:v>
                </c:pt>
              </c:numCache>
            </c:numRef>
          </c:val>
          <c:smooth val="0"/>
        </c:ser>
        <c:dLbls>
          <c:showLegendKey val="0"/>
          <c:showVal val="0"/>
          <c:showCatName val="0"/>
          <c:showSerName val="0"/>
          <c:showPercent val="0"/>
          <c:showBubbleSize val="0"/>
        </c:dLbls>
        <c:marker val="1"/>
        <c:smooth val="0"/>
        <c:axId val="313455744"/>
        <c:axId val="313457280"/>
      </c:lineChart>
      <c:catAx>
        <c:axId val="3134479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3449472"/>
        <c:crosses val="autoZero"/>
        <c:auto val="0"/>
        <c:lblAlgn val="ctr"/>
        <c:lblOffset val="100"/>
        <c:tickLblSkip val="1"/>
        <c:tickMarkSkip val="1"/>
        <c:noMultiLvlLbl val="0"/>
      </c:catAx>
      <c:valAx>
        <c:axId val="31344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0-17</a:t>
                </a:r>
              </a:p>
            </c:rich>
          </c:tx>
          <c:layout>
            <c:manualLayout>
              <c:xMode val="edge"/>
              <c:yMode val="edge"/>
              <c:x val="8.2781523875274758E-3"/>
              <c:y val="8.0537044713855255E-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447936"/>
        <c:crosses val="autoZero"/>
        <c:crossBetween val="between"/>
      </c:valAx>
      <c:catAx>
        <c:axId val="313455744"/>
        <c:scaling>
          <c:orientation val="minMax"/>
        </c:scaling>
        <c:delete val="1"/>
        <c:axPos val="b"/>
        <c:majorTickMark val="out"/>
        <c:minorTickMark val="none"/>
        <c:tickLblPos val="nextTo"/>
        <c:crossAx val="313457280"/>
        <c:crosses val="autoZero"/>
        <c:auto val="0"/>
        <c:lblAlgn val="ctr"/>
        <c:lblOffset val="100"/>
        <c:noMultiLvlLbl val="0"/>
      </c:catAx>
      <c:valAx>
        <c:axId val="313457280"/>
        <c:scaling>
          <c:orientation val="minMax"/>
        </c:scaling>
        <c:delete val="1"/>
        <c:axPos val="l"/>
        <c:numFmt formatCode="0.0" sourceLinked="1"/>
        <c:majorTickMark val="out"/>
        <c:minorTickMark val="none"/>
        <c:tickLblPos val="nextTo"/>
        <c:crossAx val="31345574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Children aged 0-17 looked after away from home by placement type, 2015
(rate per 1,000 population aged 0-17)</a:t>
            </a:r>
          </a:p>
        </c:rich>
      </c:tx>
      <c:layout>
        <c:manualLayout>
          <c:xMode val="edge"/>
          <c:yMode val="edge"/>
          <c:x val="0.12211240800395783"/>
          <c:y val="1.0752710754180852E-2"/>
        </c:manualLayout>
      </c:layout>
      <c:overlay val="0"/>
      <c:spPr>
        <a:noFill/>
        <a:ln w="25400">
          <a:noFill/>
        </a:ln>
      </c:spPr>
    </c:title>
    <c:autoTitleDeleted val="0"/>
    <c:plotArea>
      <c:layout>
        <c:manualLayout>
          <c:layoutTarget val="inner"/>
          <c:xMode val="edge"/>
          <c:yMode val="edge"/>
          <c:x val="9.0759222165103792E-2"/>
          <c:y val="0.21075313078194469"/>
          <c:w val="0.89109054489374628"/>
          <c:h val="0.52258174265318935"/>
        </c:manualLayout>
      </c:layout>
      <c:barChart>
        <c:barDir val="col"/>
        <c:grouping val="stacked"/>
        <c:varyColors val="0"/>
        <c:ser>
          <c:idx val="0"/>
          <c:order val="0"/>
          <c:tx>
            <c:strRef>
              <c:f>'Statistics - Children'!$S$180</c:f>
              <c:strCache>
                <c:ptCount val="1"/>
                <c:pt idx="0">
                  <c:v>Residential placements</c:v>
                </c:pt>
              </c:strCache>
            </c:strRef>
          </c:tx>
          <c:spPr>
            <a:solidFill>
              <a:srgbClr val="0000FF"/>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Children'!$S$181:$S$213</c:f>
              <c:numCache>
                <c:formatCode>0.0</c:formatCode>
                <c:ptCount val="33"/>
                <c:pt idx="0">
                  <c:v>2.1968767735203119</c:v>
                </c:pt>
                <c:pt idx="1">
                  <c:v>1.7311871523813032</c:v>
                </c:pt>
                <c:pt idx="2">
                  <c:v>2.3644654619152172</c:v>
                </c:pt>
                <c:pt idx="3">
                  <c:v>1.9816788184707423</c:v>
                </c:pt>
                <c:pt idx="4">
                  <c:v>1.2453300124533002</c:v>
                </c:pt>
                <c:pt idx="5">
                  <c:v>1.843944099378882</c:v>
                </c:pt>
                <c:pt idx="6">
                  <c:v>1.4377090546329441</c:v>
                </c:pt>
                <c:pt idx="7">
                  <c:v>1.1114395506946497</c:v>
                </c:pt>
                <c:pt idx="8">
                  <c:v>1.3206808843670514</c:v>
                </c:pt>
                <c:pt idx="9">
                  <c:v>1.8745951012419193</c:v>
                </c:pt>
                <c:pt idx="10">
                  <c:v>1.6289297931259161</c:v>
                </c:pt>
                <c:pt idx="11">
                  <c:v>1.5961691939345573</c:v>
                </c:pt>
                <c:pt idx="12">
                  <c:v>1.4043978656249669</c:v>
                </c:pt>
                <c:pt idx="13">
                  <c:v>1.735415832332132</c:v>
                </c:pt>
                <c:pt idx="14">
                  <c:v>1.1340771904152185</c:v>
                </c:pt>
                <c:pt idx="15">
                  <c:v>1.8297754366509567</c:v>
                </c:pt>
                <c:pt idx="16">
                  <c:v>1.5225494828581929</c:v>
                </c:pt>
                <c:pt idx="17">
                  <c:v>1.569931200073879</c:v>
                </c:pt>
                <c:pt idx="18">
                  <c:v>1.1392116655274549</c:v>
                </c:pt>
                <c:pt idx="19">
                  <c:v>1.8478499170033513</c:v>
                </c:pt>
                <c:pt idx="20">
                  <c:v>1.4079999999999999</c:v>
                </c:pt>
                <c:pt idx="21">
                  <c:v>0.7102524947618879</c:v>
                </c:pt>
                <c:pt idx="22">
                  <c:v>0.62191817333747945</c:v>
                </c:pt>
                <c:pt idx="23">
                  <c:v>0.89289910240142867</c:v>
                </c:pt>
                <c:pt idx="24">
                  <c:v>1.6929029988567408</c:v>
                </c:pt>
                <c:pt idx="25">
                  <c:v>3.2410870107205185</c:v>
                </c:pt>
                <c:pt idx="26">
                  <c:v>0.5414410662224074</c:v>
                </c:pt>
                <c:pt idx="27">
                  <c:v>1.1092355919942127</c:v>
                </c:pt>
                <c:pt idx="28">
                  <c:v>0.99776690264645795</c:v>
                </c:pt>
                <c:pt idx="29">
                  <c:v>1.9860973187686195</c:v>
                </c:pt>
                <c:pt idx="30">
                  <c:v>0.94980638562139252</c:v>
                </c:pt>
                <c:pt idx="31">
                  <c:v>0.82034454470877771</c:v>
                </c:pt>
                <c:pt idx="32">
                  <c:v>0.33762600684898469</c:v>
                </c:pt>
              </c:numCache>
            </c:numRef>
          </c:val>
        </c:ser>
        <c:ser>
          <c:idx val="1"/>
          <c:order val="1"/>
          <c:tx>
            <c:strRef>
              <c:f>'Statistics - Children'!$T$180</c:f>
              <c:strCache>
                <c:ptCount val="1"/>
                <c:pt idx="0">
                  <c:v>Directly provided foster care</c:v>
                </c:pt>
              </c:strCache>
            </c:strRef>
          </c:tx>
          <c:spPr>
            <a:solidFill>
              <a:srgbClr val="FF0000"/>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Children'!$T$181:$T$213</c:f>
              <c:numCache>
                <c:formatCode>0.0</c:formatCode>
                <c:ptCount val="33"/>
                <c:pt idx="0">
                  <c:v>7.0849275946030064</c:v>
                </c:pt>
                <c:pt idx="1">
                  <c:v>6.5932446867287924</c:v>
                </c:pt>
                <c:pt idx="2">
                  <c:v>3.040027022462422</c:v>
                </c:pt>
                <c:pt idx="3">
                  <c:v>4.8607216302112546</c:v>
                </c:pt>
                <c:pt idx="4">
                  <c:v>4.2756330427563309</c:v>
                </c:pt>
                <c:pt idx="5">
                  <c:v>3.1055900621118009</c:v>
                </c:pt>
                <c:pt idx="6">
                  <c:v>3.667625139369755</c:v>
                </c:pt>
                <c:pt idx="7">
                  <c:v>4.3156961276973105</c:v>
                </c:pt>
                <c:pt idx="8">
                  <c:v>4.6468401486988853</c:v>
                </c:pt>
                <c:pt idx="9">
                  <c:v>3.8181091400294971</c:v>
                </c:pt>
                <c:pt idx="10">
                  <c:v>3.6379432046478795</c:v>
                </c:pt>
                <c:pt idx="11">
                  <c:v>2.9529130087789306</c:v>
                </c:pt>
                <c:pt idx="12">
                  <c:v>3.6866653826088895</c:v>
                </c:pt>
                <c:pt idx="13">
                  <c:v>2.7366172740622079</c:v>
                </c:pt>
                <c:pt idx="14">
                  <c:v>3.6948966526431315</c:v>
                </c:pt>
                <c:pt idx="15">
                  <c:v>2.7723870252287219</c:v>
                </c:pt>
                <c:pt idx="16">
                  <c:v>3.570116028770935</c:v>
                </c:pt>
                <c:pt idx="17">
                  <c:v>3.0936879530867616</c:v>
                </c:pt>
                <c:pt idx="18">
                  <c:v>3.493582440950862</c:v>
                </c:pt>
                <c:pt idx="19">
                  <c:v>3.2885464624635912</c:v>
                </c:pt>
                <c:pt idx="20">
                  <c:v>3.2639999999999998</c:v>
                </c:pt>
                <c:pt idx="21">
                  <c:v>2.8054973543094568</c:v>
                </c:pt>
                <c:pt idx="22">
                  <c:v>4.3534272133623562</c:v>
                </c:pt>
                <c:pt idx="23">
                  <c:v>3.6185910992057897</c:v>
                </c:pt>
                <c:pt idx="24">
                  <c:v>2.858147920147744</c:v>
                </c:pt>
                <c:pt idx="25">
                  <c:v>1.9945150835203191</c:v>
                </c:pt>
                <c:pt idx="26">
                  <c:v>1.735388032764126</c:v>
                </c:pt>
                <c:pt idx="27">
                  <c:v>2.5078369905956115</c:v>
                </c:pt>
                <c:pt idx="28">
                  <c:v>0.7126906447474699</c:v>
                </c:pt>
                <c:pt idx="29">
                  <c:v>2.1847070506454815</c:v>
                </c:pt>
                <c:pt idx="30">
                  <c:v>2.5937020530430335</c:v>
                </c:pt>
                <c:pt idx="31">
                  <c:v>1.8457752255947497</c:v>
                </c:pt>
                <c:pt idx="32">
                  <c:v>1.2540394540105146</c:v>
                </c:pt>
              </c:numCache>
            </c:numRef>
          </c:val>
        </c:ser>
        <c:ser>
          <c:idx val="2"/>
          <c:order val="2"/>
          <c:tx>
            <c:strRef>
              <c:f>'Statistics - Children'!$U$180</c:f>
              <c:strCache>
                <c:ptCount val="1"/>
                <c:pt idx="0">
                  <c:v>Purchased foster care</c:v>
                </c:pt>
              </c:strCache>
            </c:strRef>
          </c:tx>
          <c:spPr>
            <a:solidFill>
              <a:srgbClr val="008000"/>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Children'!$U$181:$U$213</c:f>
              <c:numCache>
                <c:formatCode>0.0</c:formatCode>
                <c:ptCount val="33"/>
                <c:pt idx="0">
                  <c:v>2.9383226845834174</c:v>
                </c:pt>
                <c:pt idx="1">
                  <c:v>2.3205274595749383</c:v>
                </c:pt>
                <c:pt idx="2">
                  <c:v>1.3511231210944097</c:v>
                </c:pt>
                <c:pt idx="3">
                  <c:v>1.2338754907459339</c:v>
                </c:pt>
                <c:pt idx="4">
                  <c:v>1.6604400166044002</c:v>
                </c:pt>
                <c:pt idx="5">
                  <c:v>5.1436335403726714</c:v>
                </c:pt>
                <c:pt idx="6">
                  <c:v>2.6993721025761399</c:v>
                </c:pt>
                <c:pt idx="7">
                  <c:v>2.9204847768253028</c:v>
                </c:pt>
                <c:pt idx="8">
                  <c:v>2.0543924867931911</c:v>
                </c:pt>
                <c:pt idx="9">
                  <c:v>3.1978387021185681</c:v>
                </c:pt>
                <c:pt idx="10">
                  <c:v>1.6832274528967803</c:v>
                </c:pt>
                <c:pt idx="11">
                  <c:v>3.5647778664538441</c:v>
                </c:pt>
                <c:pt idx="12">
                  <c:v>1.4934430783317185</c:v>
                </c:pt>
                <c:pt idx="13">
                  <c:v>0.4672273394740355</c:v>
                </c:pt>
                <c:pt idx="14">
                  <c:v>7.3166270349368942E-2</c:v>
                </c:pt>
                <c:pt idx="15">
                  <c:v>0.60992514555031885</c:v>
                </c:pt>
                <c:pt idx="16">
                  <c:v>1.0500341261090984</c:v>
                </c:pt>
                <c:pt idx="17">
                  <c:v>0.69261670591494673</c:v>
                </c:pt>
                <c:pt idx="18">
                  <c:v>0.25315814789499003</c:v>
                </c:pt>
                <c:pt idx="19">
                  <c:v>1.1588211343919321</c:v>
                </c:pt>
                <c:pt idx="20">
                  <c:v>0.25600000000000001</c:v>
                </c:pt>
                <c:pt idx="21">
                  <c:v>0.7102524947618879</c:v>
                </c:pt>
                <c:pt idx="22">
                  <c:v>0.26653636000177694</c:v>
                </c:pt>
                <c:pt idx="23">
                  <c:v>0.2819681376004512</c:v>
                </c:pt>
                <c:pt idx="24">
                  <c:v>0.15390027262334008</c:v>
                </c:pt>
                <c:pt idx="25">
                  <c:v>0</c:v>
                </c:pt>
                <c:pt idx="26">
                  <c:v>0.4303762321255033</c:v>
                </c:pt>
                <c:pt idx="27">
                  <c:v>0.16075878144843661</c:v>
                </c:pt>
                <c:pt idx="28">
                  <c:v>1.3778685798451085</c:v>
                </c:pt>
                <c:pt idx="29">
                  <c:v>0</c:v>
                </c:pt>
                <c:pt idx="30">
                  <c:v>0.2922481186527362</c:v>
                </c:pt>
                <c:pt idx="31">
                  <c:v>0</c:v>
                </c:pt>
                <c:pt idx="32">
                  <c:v>0</c:v>
                </c:pt>
              </c:numCache>
            </c:numRef>
          </c:val>
        </c:ser>
        <c:ser>
          <c:idx val="3"/>
          <c:order val="3"/>
          <c:tx>
            <c:strRef>
              <c:f>'Statistics - Children'!$V$180</c:f>
              <c:strCache>
                <c:ptCount val="1"/>
                <c:pt idx="0">
                  <c:v>With relatives or friends</c:v>
                </c:pt>
              </c:strCache>
            </c:strRef>
          </c:tx>
          <c:spPr>
            <a:solidFill>
              <a:srgbClr val="99CCFF"/>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Children'!$V$181:$V$213</c:f>
              <c:numCache>
                <c:formatCode>0.0</c:formatCode>
                <c:ptCount val="33"/>
                <c:pt idx="0">
                  <c:v>12.183512439814731</c:v>
                </c:pt>
                <c:pt idx="1">
                  <c:v>4.8988913035470922</c:v>
                </c:pt>
                <c:pt idx="2">
                  <c:v>8.1630355232787242</c:v>
                </c:pt>
                <c:pt idx="3">
                  <c:v>6.3563282856608714</c:v>
                </c:pt>
                <c:pt idx="4">
                  <c:v>6.5172270651722712</c:v>
                </c:pt>
                <c:pt idx="5">
                  <c:v>3.3967391304347827</c:v>
                </c:pt>
                <c:pt idx="6">
                  <c:v>5.1640161962326161</c:v>
                </c:pt>
                <c:pt idx="7">
                  <c:v>3.7954478273721546</c:v>
                </c:pt>
                <c:pt idx="8">
                  <c:v>3.2283310506750147</c:v>
                </c:pt>
                <c:pt idx="9">
                  <c:v>2.6740547767715617</c:v>
                </c:pt>
                <c:pt idx="10">
                  <c:v>4.235217462127383</c:v>
                </c:pt>
                <c:pt idx="11">
                  <c:v>2.7134876296887471</c:v>
                </c:pt>
                <c:pt idx="12">
                  <c:v>3.9915484478548331</c:v>
                </c:pt>
                <c:pt idx="13">
                  <c:v>3.4040849018822588</c:v>
                </c:pt>
                <c:pt idx="14">
                  <c:v>3.6583135174684469</c:v>
                </c:pt>
                <c:pt idx="15">
                  <c:v>2.9387302467424452</c:v>
                </c:pt>
                <c:pt idx="16">
                  <c:v>1.9425631333018323</c:v>
                </c:pt>
                <c:pt idx="17">
                  <c:v>2.2625479059888258</c:v>
                </c:pt>
                <c:pt idx="18">
                  <c:v>2.7341079972658924</c:v>
                </c:pt>
                <c:pt idx="19">
                  <c:v>0.93958470356102597</c:v>
                </c:pt>
                <c:pt idx="20">
                  <c:v>2.56</c:v>
                </c:pt>
                <c:pt idx="21">
                  <c:v>2.8410099790475516</c:v>
                </c:pt>
                <c:pt idx="22">
                  <c:v>1.6436408866776244</c:v>
                </c:pt>
                <c:pt idx="23">
                  <c:v>1.9267822736030829</c:v>
                </c:pt>
                <c:pt idx="24">
                  <c:v>1.4730454665376835</c:v>
                </c:pt>
                <c:pt idx="25">
                  <c:v>0.99725754176015957</c:v>
                </c:pt>
                <c:pt idx="26">
                  <c:v>3.1514646674996527</c:v>
                </c:pt>
                <c:pt idx="27">
                  <c:v>1.7522707177879591</c:v>
                </c:pt>
                <c:pt idx="28">
                  <c:v>2.5181736114410604</c:v>
                </c:pt>
                <c:pt idx="29">
                  <c:v>1.5888778550148956</c:v>
                </c:pt>
                <c:pt idx="30">
                  <c:v>1.3881785636004969</c:v>
                </c:pt>
                <c:pt idx="31">
                  <c:v>2.0508613617719442</c:v>
                </c:pt>
                <c:pt idx="32">
                  <c:v>1.7363623209376355</c:v>
                </c:pt>
              </c:numCache>
            </c:numRef>
          </c:val>
        </c:ser>
        <c:ser>
          <c:idx val="4"/>
          <c:order val="4"/>
          <c:tx>
            <c:strRef>
              <c:f>'Statistics - Children'!$W$180</c:f>
              <c:strCache>
                <c:ptCount val="1"/>
                <c:pt idx="0">
                  <c:v>Other</c:v>
                </c:pt>
              </c:strCache>
            </c:strRef>
          </c:tx>
          <c:spPr>
            <a:solidFill>
              <a:srgbClr val="660066"/>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Children'!$W$181:$W$213</c:f>
              <c:numCache>
                <c:formatCode>0.0</c:formatCode>
                <c:ptCount val="33"/>
                <c:pt idx="0">
                  <c:v>6.4075572561009098E-2</c:v>
                </c:pt>
                <c:pt idx="1">
                  <c:v>0.99451176838925937</c:v>
                </c:pt>
                <c:pt idx="2">
                  <c:v>0.67556156054720484</c:v>
                </c:pt>
                <c:pt idx="3">
                  <c:v>0.5608524957936063</c:v>
                </c:pt>
                <c:pt idx="4">
                  <c:v>0.49813200498132004</c:v>
                </c:pt>
                <c:pt idx="5">
                  <c:v>0.19409937888198756</c:v>
                </c:pt>
                <c:pt idx="6">
                  <c:v>0.52813802006924482</c:v>
                </c:pt>
                <c:pt idx="7">
                  <c:v>0.46112917528820574</c:v>
                </c:pt>
                <c:pt idx="8">
                  <c:v>0.63588338876932105</c:v>
                </c:pt>
                <c:pt idx="9">
                  <c:v>0</c:v>
                </c:pt>
                <c:pt idx="10">
                  <c:v>0.21719063908345551</c:v>
                </c:pt>
                <c:pt idx="11">
                  <c:v>0.42564511838254854</c:v>
                </c:pt>
                <c:pt idx="12">
                  <c:v>0.30101153425869376</c:v>
                </c:pt>
                <c:pt idx="13">
                  <c:v>0.33373381391002538</c:v>
                </c:pt>
                <c:pt idx="14">
                  <c:v>0.10974940552405341</c:v>
                </c:pt>
                <c:pt idx="15">
                  <c:v>0.27723870252287219</c:v>
                </c:pt>
                <c:pt idx="16">
                  <c:v>0.2625085315272746</c:v>
                </c:pt>
                <c:pt idx="17">
                  <c:v>0.27704668236597868</c:v>
                </c:pt>
                <c:pt idx="18">
                  <c:v>0.12657907394749501</c:v>
                </c:pt>
                <c:pt idx="19">
                  <c:v>0.43847286166181215</c:v>
                </c:pt>
                <c:pt idx="20">
                  <c:v>6.4000000000000001E-2</c:v>
                </c:pt>
                <c:pt idx="21">
                  <c:v>0.42615149685713266</c:v>
                </c:pt>
                <c:pt idx="22">
                  <c:v>0.57749544667051667</c:v>
                </c:pt>
                <c:pt idx="23">
                  <c:v>0.1409840688002256</c:v>
                </c:pt>
                <c:pt idx="24">
                  <c:v>0.54964383079764312</c:v>
                </c:pt>
                <c:pt idx="25">
                  <c:v>0.24931438544003989</c:v>
                </c:pt>
                <c:pt idx="26">
                  <c:v>0.12494793835901707</c:v>
                </c:pt>
                <c:pt idx="27">
                  <c:v>0.28936580660718592</c:v>
                </c:pt>
                <c:pt idx="28">
                  <c:v>0.19005083859932534</c:v>
                </c:pt>
                <c:pt idx="29">
                  <c:v>0</c:v>
                </c:pt>
                <c:pt idx="30">
                  <c:v>0.27398261123694018</c:v>
                </c:pt>
                <c:pt idx="31">
                  <c:v>0</c:v>
                </c:pt>
                <c:pt idx="32">
                  <c:v>9.6464573385424204E-2</c:v>
                </c:pt>
              </c:numCache>
            </c:numRef>
          </c:val>
        </c:ser>
        <c:dLbls>
          <c:showLegendKey val="0"/>
          <c:showVal val="0"/>
          <c:showCatName val="0"/>
          <c:showSerName val="0"/>
          <c:showPercent val="0"/>
          <c:showBubbleSize val="0"/>
        </c:dLbls>
        <c:gapWidth val="150"/>
        <c:overlap val="100"/>
        <c:axId val="313503104"/>
        <c:axId val="313504896"/>
      </c:barChart>
      <c:lineChart>
        <c:grouping val="standard"/>
        <c:varyColors val="0"/>
        <c:ser>
          <c:idx val="5"/>
          <c:order val="5"/>
          <c:tx>
            <c:strRef>
              <c:f>'Statistics - Children'!$Y$180</c:f>
              <c:strCache>
                <c:ptCount val="1"/>
                <c:pt idx="0">
                  <c:v>Highlight</c:v>
                </c:pt>
              </c:strCache>
            </c:strRef>
          </c:tx>
          <c:spPr>
            <a:ln w="28575">
              <a:noFill/>
            </a:ln>
          </c:spPr>
          <c:marker>
            <c:symbol val="none"/>
          </c:marker>
          <c:dLbls>
            <c:spPr>
              <a:noFill/>
              <a:ln w="25400">
                <a:noFill/>
              </a:ln>
            </c:spPr>
            <c:txPr>
              <a:bodyPr rot="-5400000" vert="horz"/>
              <a:lstStyle/>
              <a:p>
                <a:pPr algn="ctr">
                  <a:defRPr sz="800" b="1" i="0" u="none" strike="noStrike" baseline="0">
                    <a:solidFill>
                      <a:srgbClr val="FF0000"/>
                    </a:solidFill>
                    <a:latin typeface="Calibri"/>
                    <a:ea typeface="Calibri"/>
                    <a:cs typeface="Calibri"/>
                  </a:defRPr>
                </a:pPr>
                <a:endParaRPr lang="en-US"/>
              </a:p>
            </c:txPr>
            <c:dLblPos val="b"/>
            <c:showLegendKey val="0"/>
            <c:showVal val="0"/>
            <c:showCatName val="1"/>
            <c:showSerName val="0"/>
            <c:showPercent val="0"/>
            <c:showBubbleSize val="0"/>
            <c:showLeaderLines val="0"/>
          </c:dLbls>
          <c:val>
            <c:numRef>
              <c:f>'Statistics - Children'!$Y$181:$Y$213</c:f>
              <c:numCache>
                <c:formatCode>General</c:formatCode>
                <c:ptCount val="33"/>
                <c:pt idx="0">
                  <c:v>#N/A</c:v>
                </c:pt>
                <c:pt idx="1">
                  <c:v>#N/A</c:v>
                </c:pt>
                <c:pt idx="2">
                  <c:v>#N/A</c:v>
                </c:pt>
                <c:pt idx="3">
                  <c:v>#N/A</c:v>
                </c:pt>
                <c:pt idx="4">
                  <c:v>#N/A</c:v>
                </c:pt>
                <c:pt idx="5">
                  <c:v>#N/A</c:v>
                </c:pt>
                <c:pt idx="6">
                  <c:v>#N/A</c:v>
                </c:pt>
                <c:pt idx="7">
                  <c:v>#N/A</c:v>
                </c:pt>
                <c:pt idx="8">
                  <c:v>#N/A</c:v>
                </c:pt>
                <c:pt idx="9">
                  <c:v>#N/A</c:v>
                </c:pt>
                <c:pt idx="10">
                  <c:v>#N/A</c:v>
                </c:pt>
                <c:pt idx="11">
                  <c:v>0</c:v>
                </c:pt>
                <c:pt idx="12">
                  <c:v>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6"/>
          <c:order val="6"/>
          <c:tx>
            <c:strRef>
              <c:f>'Statistics - Children'!$Z$180</c:f>
              <c:strCache>
                <c:ptCount val="1"/>
                <c:pt idx="0">
                  <c:v>Don't Highlight</c:v>
                </c:pt>
              </c:strCache>
            </c:strRef>
          </c:tx>
          <c:spPr>
            <a:ln w="28575">
              <a:noFill/>
            </a:ln>
          </c:spPr>
          <c:marker>
            <c:symbol val="none"/>
          </c:marker>
          <c:dLbls>
            <c:spPr>
              <a:noFill/>
              <a:ln w="25400">
                <a:noFill/>
              </a:ln>
            </c:spPr>
            <c:txPr>
              <a:bodyPr rot="-5400000" vert="horz"/>
              <a:lstStyle/>
              <a:p>
                <a:pPr algn="ctr">
                  <a:defRPr sz="800" b="0" i="0" u="none" strike="noStrike" baseline="0">
                    <a:solidFill>
                      <a:srgbClr val="000000"/>
                    </a:solidFill>
                    <a:latin typeface="Calibri"/>
                    <a:ea typeface="Calibri"/>
                    <a:cs typeface="Calibri"/>
                  </a:defRPr>
                </a:pPr>
                <a:endParaRPr lang="en-US"/>
              </a:p>
            </c:txPr>
            <c:dLblPos val="b"/>
            <c:showLegendKey val="0"/>
            <c:showVal val="0"/>
            <c:showCatName val="1"/>
            <c:showSerName val="0"/>
            <c:showPercent val="0"/>
            <c:showBubbleSize val="0"/>
            <c:showLeaderLines val="0"/>
          </c:dLbls>
          <c:val>
            <c:numRef>
              <c:f>'Statistics - Children'!$Z$181:$Z$213</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#N/A</c:v>
                </c:pt>
                <c:pt idx="12">
                  <c:v>#N/A</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13503104"/>
        <c:axId val="313504896"/>
      </c:lineChart>
      <c:catAx>
        <c:axId val="313503104"/>
        <c:scaling>
          <c:orientation val="minMax"/>
        </c:scaling>
        <c:delete val="0"/>
        <c:axPos val="b"/>
        <c:majorTickMark val="out"/>
        <c:minorTickMark val="none"/>
        <c:tickLblPos val="none"/>
        <c:spPr>
          <a:ln w="3175">
            <a:solidFill>
              <a:srgbClr val="000000"/>
            </a:solidFill>
            <a:prstDash val="solid"/>
          </a:ln>
        </c:spPr>
        <c:crossAx val="313504896"/>
        <c:crosses val="autoZero"/>
        <c:auto val="0"/>
        <c:lblAlgn val="ctr"/>
        <c:lblOffset val="100"/>
        <c:tickLblSkip val="1"/>
        <c:tickMarkSkip val="1"/>
        <c:noMultiLvlLbl val="0"/>
      </c:catAx>
      <c:valAx>
        <c:axId val="3135048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0-17</a:t>
                </a:r>
              </a:p>
            </c:rich>
          </c:tx>
          <c:layout>
            <c:manualLayout>
              <c:xMode val="edge"/>
              <c:yMode val="edge"/>
              <c:x val="8.2508383786457987E-3"/>
              <c:y val="0.251613431647831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503104"/>
        <c:crosses val="autoZero"/>
        <c:crossBetween val="between"/>
      </c:valAx>
      <c:spPr>
        <a:noFill/>
        <a:ln w="25400">
          <a:noFill/>
        </a:ln>
      </c:spPr>
    </c:plotArea>
    <c:legend>
      <c:legendPos val="b"/>
      <c:legendEntry>
        <c:idx val="5"/>
        <c:delete val="1"/>
      </c:legendEntry>
      <c:legendEntry>
        <c:idx val="6"/>
        <c:delete val="1"/>
      </c:legendEntry>
      <c:layout>
        <c:manualLayout>
          <c:xMode val="edge"/>
          <c:yMode val="edge"/>
          <c:x val="0.14356458778843689"/>
          <c:y val="0.13118307120100639"/>
          <c:w val="0.77062830456551767"/>
          <c:h val="7.7419517430102128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Total home care hours (all care groups)
(rate per 1,000 population aged 65+)</a:t>
            </a:r>
          </a:p>
        </c:rich>
      </c:tx>
      <c:layout>
        <c:manualLayout>
          <c:xMode val="edge"/>
          <c:yMode val="edge"/>
          <c:x val="0.29769736842105265"/>
          <c:y val="2.0325283938658928E-2"/>
        </c:manualLayout>
      </c:layout>
      <c:overlay val="0"/>
      <c:spPr>
        <a:noFill/>
        <a:ln w="25400">
          <a:noFill/>
        </a:ln>
      </c:spPr>
    </c:title>
    <c:autoTitleDeleted val="0"/>
    <c:plotArea>
      <c:layout>
        <c:manualLayout>
          <c:layoutTarget val="inner"/>
          <c:xMode val="edge"/>
          <c:yMode val="edge"/>
          <c:x val="0.13815789473684212"/>
          <c:y val="0.20731789617432106"/>
          <c:w val="0.81907894736842102"/>
          <c:h val="0.54878266634379103"/>
        </c:manualLayout>
      </c:layout>
      <c:lineChart>
        <c:grouping val="standard"/>
        <c:varyColors val="0"/>
        <c:ser>
          <c:idx val="0"/>
          <c:order val="0"/>
          <c:tx>
            <c:strRef>
              <c:f>Cover!$N$585</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Cover!$O$584:$W$584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Cover!$O$585:$W$585</c:f>
              <c:numCache>
                <c:formatCode>0.0</c:formatCode>
                <c:ptCount val="9"/>
                <c:pt idx="0">
                  <c:v>707.49922528664399</c:v>
                </c:pt>
                <c:pt idx="1">
                  <c:v>540.89144277061655</c:v>
                </c:pt>
                <c:pt idx="2">
                  <c:v>471.42080576522847</c:v>
                </c:pt>
                <c:pt idx="3">
                  <c:v>485.85360535742097</c:v>
                </c:pt>
                <c:pt idx="4">
                  <c:v>503.28382275419392</c:v>
                </c:pt>
                <c:pt idx="5">
                  <c:v>497.46728577458845</c:v>
                </c:pt>
                <c:pt idx="6">
                  <c:v>438.99979236496307</c:v>
                </c:pt>
                <c:pt idx="7">
                  <c:v>539.97256355623017</c:v>
                </c:pt>
                <c:pt idx="8">
                  <c:v>522.45993987332542</c:v>
                </c:pt>
              </c:numCache>
            </c:numRef>
          </c:val>
          <c:smooth val="0"/>
        </c:ser>
        <c:ser>
          <c:idx val="1"/>
          <c:order val="1"/>
          <c:tx>
            <c:strRef>
              <c:f>Cover!$N$586</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Cover!$O$584:$W$584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Cover!$O$586:$W$586</c:f>
              <c:numCache>
                <c:formatCode>0.0</c:formatCode>
                <c:ptCount val="9"/>
                <c:pt idx="0">
                  <c:v>762.80875530532285</c:v>
                </c:pt>
                <c:pt idx="1">
                  <c:v>760.04824042692542</c:v>
                </c:pt>
                <c:pt idx="2">
                  <c:v>743.48698108565759</c:v>
                </c:pt>
                <c:pt idx="3">
                  <c:v>757.74887093913298</c:v>
                </c:pt>
                <c:pt idx="4">
                  <c:v>762.91283451811989</c:v>
                </c:pt>
                <c:pt idx="5">
                  <c:v>770.07100181366263</c:v>
                </c:pt>
                <c:pt idx="6">
                  <c:v>666.5174016910596</c:v>
                </c:pt>
                <c:pt idx="7">
                  <c:v>701.06124708149309</c:v>
                </c:pt>
                <c:pt idx="8">
                  <c:v>729.04586896381522</c:v>
                </c:pt>
              </c:numCache>
            </c:numRef>
          </c:val>
          <c:smooth val="0"/>
        </c:ser>
        <c:ser>
          <c:idx val="2"/>
          <c:order val="2"/>
          <c:tx>
            <c:strRef>
              <c:f>Cover!$N$587</c:f>
              <c:strCache>
                <c:ptCount val="1"/>
                <c:pt idx="0">
                  <c:v>Min</c:v>
                </c:pt>
              </c:strCache>
            </c:strRef>
          </c:tx>
          <c:spPr>
            <a:ln w="25400">
              <a:solidFill>
                <a:srgbClr val="000000"/>
              </a:solidFill>
              <a:prstDash val="sysDash"/>
            </a:ln>
          </c:spPr>
          <c:marker>
            <c:symbol val="none"/>
          </c:marker>
          <c:cat>
            <c:numRef>
              <c:f>Cover!$O$584:$W$584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Cover!$O$587:$W$587</c:f>
              <c:numCache>
                <c:formatCode>0.0</c:formatCode>
                <c:ptCount val="9"/>
                <c:pt idx="0">
                  <c:v>312.84814504678343</c:v>
                </c:pt>
                <c:pt idx="1">
                  <c:v>290.80779944289691</c:v>
                </c:pt>
                <c:pt idx="2">
                  <c:v>294.39635535307519</c:v>
                </c:pt>
                <c:pt idx="3">
                  <c:v>294.07105050686283</c:v>
                </c:pt>
                <c:pt idx="4">
                  <c:v>270.92928162527443</c:v>
                </c:pt>
                <c:pt idx="5">
                  <c:v>272.2208467442436</c:v>
                </c:pt>
                <c:pt idx="6">
                  <c:v>248.39743589743591</c:v>
                </c:pt>
                <c:pt idx="7">
                  <c:v>295.74091429761535</c:v>
                </c:pt>
                <c:pt idx="8">
                  <c:v>289.49286681245445</c:v>
                </c:pt>
              </c:numCache>
            </c:numRef>
          </c:val>
          <c:smooth val="0"/>
        </c:ser>
        <c:ser>
          <c:idx val="3"/>
          <c:order val="3"/>
          <c:tx>
            <c:strRef>
              <c:f>Cover!$N$588</c:f>
              <c:strCache>
                <c:ptCount val="1"/>
                <c:pt idx="0">
                  <c:v>Max</c:v>
                </c:pt>
              </c:strCache>
            </c:strRef>
          </c:tx>
          <c:spPr>
            <a:ln w="25400">
              <a:solidFill>
                <a:srgbClr val="000000"/>
              </a:solidFill>
              <a:prstDash val="sysDash"/>
            </a:ln>
          </c:spPr>
          <c:marker>
            <c:symbol val="none"/>
          </c:marker>
          <c:cat>
            <c:numRef>
              <c:f>Cover!$O$584:$W$584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Cover!$O$588:$W$588</c:f>
              <c:numCache>
                <c:formatCode>0.0</c:formatCode>
                <c:ptCount val="9"/>
                <c:pt idx="0">
                  <c:v>1438.0488233227959</c:v>
                </c:pt>
                <c:pt idx="1">
                  <c:v>1548.8510711817553</c:v>
                </c:pt>
                <c:pt idx="2">
                  <c:v>1569.191333276465</c:v>
                </c:pt>
                <c:pt idx="3">
                  <c:v>1562.4748812376508</c:v>
                </c:pt>
                <c:pt idx="4">
                  <c:v>1635.7225315212052</c:v>
                </c:pt>
                <c:pt idx="5">
                  <c:v>1492.1018250920463</c:v>
                </c:pt>
                <c:pt idx="6">
                  <c:v>1146.5968586387435</c:v>
                </c:pt>
                <c:pt idx="7">
                  <c:v>1123.30734509643</c:v>
                </c:pt>
                <c:pt idx="8">
                  <c:v>1122.7015558698727</c:v>
                </c:pt>
              </c:numCache>
            </c:numRef>
          </c:val>
          <c:smooth val="0"/>
        </c:ser>
        <c:dLbls>
          <c:showLegendKey val="0"/>
          <c:showVal val="0"/>
          <c:showCatName val="0"/>
          <c:showSerName val="0"/>
          <c:showPercent val="0"/>
          <c:showBubbleSize val="0"/>
        </c:dLbls>
        <c:marker val="1"/>
        <c:smooth val="0"/>
        <c:axId val="313541376"/>
        <c:axId val="313542912"/>
      </c:lineChart>
      <c:catAx>
        <c:axId val="313541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542912"/>
        <c:crosses val="autoZero"/>
        <c:auto val="1"/>
        <c:lblAlgn val="ctr"/>
        <c:lblOffset val="100"/>
        <c:tickLblSkip val="1"/>
        <c:tickMarkSkip val="1"/>
        <c:noMultiLvlLbl val="0"/>
      </c:catAx>
      <c:valAx>
        <c:axId val="3135429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Hours per 1,000 population aged 65+</a:t>
                </a:r>
              </a:p>
            </c:rich>
          </c:tx>
          <c:layout>
            <c:manualLayout>
              <c:xMode val="edge"/>
              <c:yMode val="edge"/>
              <c:x val="8.2236842105263153E-3"/>
              <c:y val="0.1626022715092714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541376"/>
        <c:crosses val="autoZero"/>
        <c:crossBetween val="between"/>
      </c:valAx>
      <c:spPr>
        <a:noFill/>
        <a:ln w="25400">
          <a:noFill/>
        </a:ln>
      </c:spPr>
    </c:plotArea>
    <c:legend>
      <c:legendPos val="r"/>
      <c:layout>
        <c:manualLayout>
          <c:xMode val="edge"/>
          <c:yMode val="edge"/>
          <c:x val="0.23684210526315788"/>
          <c:y val="0.87398720936233387"/>
          <c:w val="0.61513157894736847"/>
          <c:h val="9.75613629055628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Older people receiving intensive home care (10+ hours per week), 2014/15
(rate per 1,000 population aged 65+)</a:t>
            </a:r>
          </a:p>
        </c:rich>
      </c:tx>
      <c:layout>
        <c:manualLayout>
          <c:xMode val="edge"/>
          <c:yMode val="edge"/>
          <c:x val="0.12582791629041765"/>
          <c:y val="1.9292604501607719E-2"/>
        </c:manualLayout>
      </c:layout>
      <c:overlay val="0"/>
      <c:spPr>
        <a:noFill/>
        <a:ln w="25400">
          <a:noFill/>
        </a:ln>
      </c:spPr>
    </c:title>
    <c:autoTitleDeleted val="0"/>
    <c:plotArea>
      <c:layout>
        <c:manualLayout>
          <c:layoutTarget val="inner"/>
          <c:xMode val="edge"/>
          <c:yMode val="edge"/>
          <c:x val="0.15231800393050557"/>
          <c:y val="0.21221864951768488"/>
          <c:w val="0.81953708636522016"/>
          <c:h val="0.46945337620578781"/>
        </c:manualLayout>
      </c:layout>
      <c:barChart>
        <c:barDir val="col"/>
        <c:grouping val="clustered"/>
        <c:varyColors val="0"/>
        <c:ser>
          <c:idx val="1"/>
          <c:order val="0"/>
          <c:tx>
            <c:strRef>
              <c:f>'Statistics - Older People'!$B$310</c:f>
              <c:strCache>
                <c:ptCount val="1"/>
                <c:pt idx="0">
                  <c:v>Rate per 1,000 population aged 65+</c:v>
                </c:pt>
              </c:strCache>
            </c:strRef>
          </c:tx>
          <c:spPr>
            <a:solidFill>
              <a:srgbClr val="0000FF"/>
            </a:solidFill>
            <a:ln w="12700">
              <a:solidFill>
                <a:srgbClr val="000000"/>
              </a:solidFill>
              <a:prstDash val="solid"/>
            </a:ln>
          </c:spPr>
          <c:invertIfNegative val="0"/>
          <c:cat>
            <c:strRef>
              <c:f>'Statistics - Older People'!$A$311:$A$342</c:f>
              <c:strCache>
                <c:ptCount val="32"/>
                <c:pt idx="0">
                  <c:v>Glasgow City</c:v>
                </c:pt>
                <c:pt idx="1">
                  <c:v>East Dunbartonshire</c:v>
                </c:pt>
                <c:pt idx="2">
                  <c:v>Dumfries &amp; Galloway</c:v>
                </c:pt>
                <c:pt idx="3">
                  <c:v>North Lanarkshire</c:v>
                </c:pt>
                <c:pt idx="4">
                  <c:v>Argyll &amp; Bute</c:v>
                </c:pt>
                <c:pt idx="5">
                  <c:v>Inverclyde</c:v>
                </c:pt>
                <c:pt idx="6">
                  <c:v>North Ayrshire</c:v>
                </c:pt>
                <c:pt idx="7">
                  <c:v>West Dunbartonshire</c:v>
                </c:pt>
                <c:pt idx="8">
                  <c:v>Eilean Siar</c:v>
                </c:pt>
                <c:pt idx="9">
                  <c:v>Edinburgh</c:v>
                </c:pt>
                <c:pt idx="10">
                  <c:v>East Lothian</c:v>
                </c:pt>
                <c:pt idx="11">
                  <c:v>Clackmannanshire</c:v>
                </c:pt>
                <c:pt idx="12">
                  <c:v>Moray</c:v>
                </c:pt>
                <c:pt idx="13">
                  <c:v>Stirling</c:v>
                </c:pt>
                <c:pt idx="14">
                  <c:v>Shetland Islands</c:v>
                </c:pt>
                <c:pt idx="15">
                  <c:v>West Lothian</c:v>
                </c:pt>
                <c:pt idx="16">
                  <c:v>Dundee City</c:v>
                </c:pt>
                <c:pt idx="17">
                  <c:v>South Lanarkshire</c:v>
                </c:pt>
                <c:pt idx="18">
                  <c:v>South Ayrshire</c:v>
                </c:pt>
                <c:pt idx="19">
                  <c:v>Angus</c:v>
                </c:pt>
                <c:pt idx="20">
                  <c:v>Orkney Islands</c:v>
                </c:pt>
                <c:pt idx="21">
                  <c:v>Renfrewshire</c:v>
                </c:pt>
                <c:pt idx="22">
                  <c:v>East Ayrshire</c:v>
                </c:pt>
                <c:pt idx="23">
                  <c:v>Aberdeen City</c:v>
                </c:pt>
                <c:pt idx="24">
                  <c:v>Aberdeenshire</c:v>
                </c:pt>
                <c:pt idx="25">
                  <c:v>Falkirk</c:v>
                </c:pt>
                <c:pt idx="26">
                  <c:v>Midlothian</c:v>
                </c:pt>
                <c:pt idx="27">
                  <c:v>East Renfrewshire</c:v>
                </c:pt>
                <c:pt idx="28">
                  <c:v>Perth &amp; Kinross</c:v>
                </c:pt>
                <c:pt idx="29">
                  <c:v>Highland</c:v>
                </c:pt>
                <c:pt idx="30">
                  <c:v>Scottish Borders</c:v>
                </c:pt>
                <c:pt idx="31">
                  <c:v>Fife</c:v>
                </c:pt>
              </c:strCache>
            </c:strRef>
          </c:cat>
          <c:val>
            <c:numRef>
              <c:f>'Statistics - Older People'!$B$311:$B$342</c:f>
              <c:numCache>
                <c:formatCode>0.0</c:formatCode>
                <c:ptCount val="32"/>
                <c:pt idx="0">
                  <c:v>31.340907186381433</c:v>
                </c:pt>
                <c:pt idx="1">
                  <c:v>28.376944837340879</c:v>
                </c:pt>
                <c:pt idx="2">
                  <c:v>27.401090451558787</c:v>
                </c:pt>
                <c:pt idx="3">
                  <c:v>24.985399328369105</c:v>
                </c:pt>
                <c:pt idx="4">
                  <c:v>24.29897688518378</c:v>
                </c:pt>
                <c:pt idx="5">
                  <c:v>24.026512013256006</c:v>
                </c:pt>
                <c:pt idx="6">
                  <c:v>23.376623376623378</c:v>
                </c:pt>
                <c:pt idx="7">
                  <c:v>22.806683184041674</c:v>
                </c:pt>
                <c:pt idx="8">
                  <c:v>21.874030406453613</c:v>
                </c:pt>
                <c:pt idx="9">
                  <c:v>21.62337926269154</c:v>
                </c:pt>
                <c:pt idx="10">
                  <c:v>20.876077144029544</c:v>
                </c:pt>
                <c:pt idx="11">
                  <c:v>19.723443027119735</c:v>
                </c:pt>
                <c:pt idx="12">
                  <c:v>19.684210526315791</c:v>
                </c:pt>
                <c:pt idx="13">
                  <c:v>19.198862289642097</c:v>
                </c:pt>
                <c:pt idx="14">
                  <c:v>18.431001890359166</c:v>
                </c:pt>
                <c:pt idx="15">
                  <c:v>18.356063398451898</c:v>
                </c:pt>
                <c:pt idx="16">
                  <c:v>18.064816250581487</c:v>
                </c:pt>
                <c:pt idx="17">
                  <c:v>17.445493681433135</c:v>
                </c:pt>
                <c:pt idx="18">
                  <c:v>16.56809220503488</c:v>
                </c:pt>
                <c:pt idx="19">
                  <c:v>15.175750009753052</c:v>
                </c:pt>
                <c:pt idx="20">
                  <c:v>14.839940640237439</c:v>
                </c:pt>
                <c:pt idx="21">
                  <c:v>14.645208024944097</c:v>
                </c:pt>
                <c:pt idx="22">
                  <c:v>14.005602240896359</c:v>
                </c:pt>
                <c:pt idx="23">
                  <c:v>13.163655468316744</c:v>
                </c:pt>
                <c:pt idx="24">
                  <c:v>12.688914125971872</c:v>
                </c:pt>
                <c:pt idx="25">
                  <c:v>12.660491398733951</c:v>
                </c:pt>
                <c:pt idx="26">
                  <c:v>12.553641196438864</c:v>
                </c:pt>
                <c:pt idx="27">
                  <c:v>9.6670247046186901</c:v>
                </c:pt>
                <c:pt idx="28">
                  <c:v>9.0417025464386764</c:v>
                </c:pt>
                <c:pt idx="29">
                  <c:v>9.0180152035822143</c:v>
                </c:pt>
                <c:pt idx="30">
                  <c:v>8.6210170521438609</c:v>
                </c:pt>
                <c:pt idx="31">
                  <c:v>8.1195558870298186</c:v>
                </c:pt>
              </c:numCache>
            </c:numRef>
          </c:val>
        </c:ser>
        <c:ser>
          <c:idx val="0"/>
          <c:order val="1"/>
          <c:tx>
            <c:strRef>
              <c:f>'Per Capita Data - Older'!$D$2</c:f>
              <c:strCache>
                <c:ptCount val="1"/>
              </c:strCache>
            </c:strRef>
          </c:tx>
          <c:spPr>
            <a:solidFill>
              <a:srgbClr val="FFFF00"/>
            </a:solidFill>
            <a:ln w="12700">
              <a:solidFill>
                <a:srgbClr val="000000"/>
              </a:solidFill>
              <a:prstDash val="solid"/>
            </a:ln>
          </c:spPr>
          <c:invertIfNegative val="0"/>
          <c:cat>
            <c:strRef>
              <c:f>'Statistics - Older People'!$A$311:$A$342</c:f>
              <c:strCache>
                <c:ptCount val="32"/>
                <c:pt idx="0">
                  <c:v>Glasgow City</c:v>
                </c:pt>
                <c:pt idx="1">
                  <c:v>East Dunbartonshire</c:v>
                </c:pt>
                <c:pt idx="2">
                  <c:v>Dumfries &amp; Galloway</c:v>
                </c:pt>
                <c:pt idx="3">
                  <c:v>North Lanarkshire</c:v>
                </c:pt>
                <c:pt idx="4">
                  <c:v>Argyll &amp; Bute</c:v>
                </c:pt>
                <c:pt idx="5">
                  <c:v>Inverclyde</c:v>
                </c:pt>
                <c:pt idx="6">
                  <c:v>North Ayrshire</c:v>
                </c:pt>
                <c:pt idx="7">
                  <c:v>West Dunbartonshire</c:v>
                </c:pt>
                <c:pt idx="8">
                  <c:v>Eilean Siar</c:v>
                </c:pt>
                <c:pt idx="9">
                  <c:v>Edinburgh</c:v>
                </c:pt>
                <c:pt idx="10">
                  <c:v>East Lothian</c:v>
                </c:pt>
                <c:pt idx="11">
                  <c:v>Clackmannanshire</c:v>
                </c:pt>
                <c:pt idx="12">
                  <c:v>Moray</c:v>
                </c:pt>
                <c:pt idx="13">
                  <c:v>Stirling</c:v>
                </c:pt>
                <c:pt idx="14">
                  <c:v>Shetland Islands</c:v>
                </c:pt>
                <c:pt idx="15">
                  <c:v>West Lothian</c:v>
                </c:pt>
                <c:pt idx="16">
                  <c:v>Dundee City</c:v>
                </c:pt>
                <c:pt idx="17">
                  <c:v>South Lanarkshire</c:v>
                </c:pt>
                <c:pt idx="18">
                  <c:v>South Ayrshire</c:v>
                </c:pt>
                <c:pt idx="19">
                  <c:v>Angus</c:v>
                </c:pt>
                <c:pt idx="20">
                  <c:v>Orkney Islands</c:v>
                </c:pt>
                <c:pt idx="21">
                  <c:v>Renfrewshire</c:v>
                </c:pt>
                <c:pt idx="22">
                  <c:v>East Ayrshire</c:v>
                </c:pt>
                <c:pt idx="23">
                  <c:v>Aberdeen City</c:v>
                </c:pt>
                <c:pt idx="24">
                  <c:v>Aberdeenshire</c:v>
                </c:pt>
                <c:pt idx="25">
                  <c:v>Falkirk</c:v>
                </c:pt>
                <c:pt idx="26">
                  <c:v>Midlothian</c:v>
                </c:pt>
                <c:pt idx="27">
                  <c:v>East Renfrewshire</c:v>
                </c:pt>
                <c:pt idx="28">
                  <c:v>Perth &amp; Kinross</c:v>
                </c:pt>
                <c:pt idx="29">
                  <c:v>Highland</c:v>
                </c:pt>
                <c:pt idx="30">
                  <c:v>Scottish Borders</c:v>
                </c:pt>
                <c:pt idx="31">
                  <c:v>Fife</c:v>
                </c:pt>
              </c:strCache>
            </c:strRef>
          </c:cat>
          <c:val>
            <c:numRef>
              <c:f>'Statistics - Older People'!$C$311:$C$342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13.163655468316744</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3559680"/>
        <c:axId val="313577856"/>
      </c:barChart>
      <c:lineChart>
        <c:grouping val="standard"/>
        <c:varyColors val="0"/>
        <c:ser>
          <c:idx val="2"/>
          <c:order val="2"/>
          <c:tx>
            <c:strRef>
              <c:f>'Statistics - Older People'!$D$310</c:f>
              <c:strCache>
                <c:ptCount val="1"/>
                <c:pt idx="0">
                  <c:v>Scottish rate</c:v>
                </c:pt>
              </c:strCache>
            </c:strRef>
          </c:tx>
          <c:spPr>
            <a:ln w="25400">
              <a:solidFill>
                <a:srgbClr val="FF0000"/>
              </a:solidFill>
              <a:prstDash val="solid"/>
            </a:ln>
          </c:spPr>
          <c:marker>
            <c:symbol val="none"/>
          </c:marker>
          <c:cat>
            <c:strRef>
              <c:f>'Statistics - Older People'!$A$311:$A$342</c:f>
              <c:strCache>
                <c:ptCount val="32"/>
                <c:pt idx="0">
                  <c:v>Glasgow City</c:v>
                </c:pt>
                <c:pt idx="1">
                  <c:v>East Dunbartonshire</c:v>
                </c:pt>
                <c:pt idx="2">
                  <c:v>Dumfries &amp; Galloway</c:v>
                </c:pt>
                <c:pt idx="3">
                  <c:v>North Lanarkshire</c:v>
                </c:pt>
                <c:pt idx="4">
                  <c:v>Argyll &amp; Bute</c:v>
                </c:pt>
                <c:pt idx="5">
                  <c:v>Inverclyde</c:v>
                </c:pt>
                <c:pt idx="6">
                  <c:v>North Ayrshire</c:v>
                </c:pt>
                <c:pt idx="7">
                  <c:v>West Dunbartonshire</c:v>
                </c:pt>
                <c:pt idx="8">
                  <c:v>Eilean Siar</c:v>
                </c:pt>
                <c:pt idx="9">
                  <c:v>Edinburgh</c:v>
                </c:pt>
                <c:pt idx="10">
                  <c:v>East Lothian</c:v>
                </c:pt>
                <c:pt idx="11">
                  <c:v>Clackmannanshire</c:v>
                </c:pt>
                <c:pt idx="12">
                  <c:v>Moray</c:v>
                </c:pt>
                <c:pt idx="13">
                  <c:v>Stirling</c:v>
                </c:pt>
                <c:pt idx="14">
                  <c:v>Shetland Islands</c:v>
                </c:pt>
                <c:pt idx="15">
                  <c:v>West Lothian</c:v>
                </c:pt>
                <c:pt idx="16">
                  <c:v>Dundee City</c:v>
                </c:pt>
                <c:pt idx="17">
                  <c:v>South Lanarkshire</c:v>
                </c:pt>
                <c:pt idx="18">
                  <c:v>South Ayrshire</c:v>
                </c:pt>
                <c:pt idx="19">
                  <c:v>Angus</c:v>
                </c:pt>
                <c:pt idx="20">
                  <c:v>Orkney Islands</c:v>
                </c:pt>
                <c:pt idx="21">
                  <c:v>Renfrewshire</c:v>
                </c:pt>
                <c:pt idx="22">
                  <c:v>East Ayrshire</c:v>
                </c:pt>
                <c:pt idx="23">
                  <c:v>Aberdeen City</c:v>
                </c:pt>
                <c:pt idx="24">
                  <c:v>Aberdeenshire</c:v>
                </c:pt>
                <c:pt idx="25">
                  <c:v>Falkirk</c:v>
                </c:pt>
                <c:pt idx="26">
                  <c:v>Midlothian</c:v>
                </c:pt>
                <c:pt idx="27">
                  <c:v>East Renfrewshire</c:v>
                </c:pt>
                <c:pt idx="28">
                  <c:v>Perth &amp; Kinross</c:v>
                </c:pt>
                <c:pt idx="29">
                  <c:v>Highland</c:v>
                </c:pt>
                <c:pt idx="30">
                  <c:v>Scottish Borders</c:v>
                </c:pt>
                <c:pt idx="31">
                  <c:v>Fife</c:v>
                </c:pt>
              </c:strCache>
            </c:strRef>
          </c:cat>
          <c:val>
            <c:numRef>
              <c:f>'Statistics - Older People'!$D$311:$D$342</c:f>
              <c:numCache>
                <c:formatCode>0.0</c:formatCode>
                <c:ptCount val="32"/>
                <c:pt idx="0">
                  <c:v>17.355628781409123</c:v>
                </c:pt>
                <c:pt idx="1">
                  <c:v>17.355628781409123</c:v>
                </c:pt>
                <c:pt idx="2">
                  <c:v>17.355628781409123</c:v>
                </c:pt>
                <c:pt idx="3">
                  <c:v>17.355628781409123</c:v>
                </c:pt>
                <c:pt idx="4">
                  <c:v>17.355628781409123</c:v>
                </c:pt>
                <c:pt idx="5">
                  <c:v>17.355628781409123</c:v>
                </c:pt>
                <c:pt idx="6">
                  <c:v>17.355628781409123</c:v>
                </c:pt>
                <c:pt idx="7">
                  <c:v>17.355628781409123</c:v>
                </c:pt>
                <c:pt idx="8">
                  <c:v>17.355628781409123</c:v>
                </c:pt>
                <c:pt idx="9">
                  <c:v>17.355628781409123</c:v>
                </c:pt>
                <c:pt idx="10">
                  <c:v>17.355628781409123</c:v>
                </c:pt>
                <c:pt idx="11">
                  <c:v>17.355628781409123</c:v>
                </c:pt>
                <c:pt idx="12">
                  <c:v>17.355628781409123</c:v>
                </c:pt>
                <c:pt idx="13">
                  <c:v>17.355628781409123</c:v>
                </c:pt>
                <c:pt idx="14">
                  <c:v>17.355628781409123</c:v>
                </c:pt>
                <c:pt idx="15">
                  <c:v>17.355628781409123</c:v>
                </c:pt>
                <c:pt idx="16">
                  <c:v>17.355628781409123</c:v>
                </c:pt>
                <c:pt idx="17">
                  <c:v>17.355628781409123</c:v>
                </c:pt>
                <c:pt idx="18">
                  <c:v>17.355628781409123</c:v>
                </c:pt>
                <c:pt idx="19">
                  <c:v>17.355628781409123</c:v>
                </c:pt>
                <c:pt idx="20">
                  <c:v>17.355628781409123</c:v>
                </c:pt>
                <c:pt idx="21">
                  <c:v>17.355628781409123</c:v>
                </c:pt>
                <c:pt idx="22">
                  <c:v>17.355628781409123</c:v>
                </c:pt>
                <c:pt idx="23">
                  <c:v>17.355628781409123</c:v>
                </c:pt>
                <c:pt idx="24">
                  <c:v>17.355628781409123</c:v>
                </c:pt>
                <c:pt idx="25">
                  <c:v>17.355628781409123</c:v>
                </c:pt>
                <c:pt idx="26">
                  <c:v>17.355628781409123</c:v>
                </c:pt>
                <c:pt idx="27">
                  <c:v>17.355628781409123</c:v>
                </c:pt>
                <c:pt idx="28">
                  <c:v>17.355628781409123</c:v>
                </c:pt>
                <c:pt idx="29">
                  <c:v>17.355628781409123</c:v>
                </c:pt>
                <c:pt idx="30">
                  <c:v>17.355628781409123</c:v>
                </c:pt>
                <c:pt idx="31">
                  <c:v>17.355628781409123</c:v>
                </c:pt>
              </c:numCache>
            </c:numRef>
          </c:val>
          <c:smooth val="0"/>
        </c:ser>
        <c:dLbls>
          <c:showLegendKey val="0"/>
          <c:showVal val="0"/>
          <c:showCatName val="0"/>
          <c:showSerName val="0"/>
          <c:showPercent val="0"/>
          <c:showBubbleSize val="0"/>
        </c:dLbls>
        <c:marker val="1"/>
        <c:smooth val="0"/>
        <c:axId val="313579776"/>
        <c:axId val="313581568"/>
      </c:lineChart>
      <c:catAx>
        <c:axId val="3135596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3577856"/>
        <c:crosses val="autoZero"/>
        <c:auto val="0"/>
        <c:lblAlgn val="ctr"/>
        <c:lblOffset val="100"/>
        <c:tickLblSkip val="1"/>
        <c:tickMarkSkip val="1"/>
        <c:noMultiLvlLbl val="0"/>
      </c:catAx>
      <c:valAx>
        <c:axId val="3135778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3.3112609550109903E-2"/>
              <c:y val="0.1286173633440514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13559680"/>
        <c:crosses val="autoZero"/>
        <c:crossBetween val="between"/>
      </c:valAx>
      <c:catAx>
        <c:axId val="313579776"/>
        <c:scaling>
          <c:orientation val="minMax"/>
        </c:scaling>
        <c:delete val="1"/>
        <c:axPos val="b"/>
        <c:majorTickMark val="out"/>
        <c:minorTickMark val="none"/>
        <c:tickLblPos val="nextTo"/>
        <c:crossAx val="313581568"/>
        <c:crosses val="autoZero"/>
        <c:auto val="0"/>
        <c:lblAlgn val="ctr"/>
        <c:lblOffset val="100"/>
        <c:noMultiLvlLbl val="0"/>
      </c:catAx>
      <c:valAx>
        <c:axId val="313581568"/>
        <c:scaling>
          <c:orientation val="minMax"/>
        </c:scaling>
        <c:delete val="1"/>
        <c:axPos val="l"/>
        <c:numFmt formatCode="0.0" sourceLinked="1"/>
        <c:majorTickMark val="out"/>
        <c:minorTickMark val="none"/>
        <c:tickLblPos val="nextTo"/>
        <c:crossAx val="31357977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Total home care hours by sector
(rate per 1,000 population aged 65+)</a:t>
            </a:r>
          </a:p>
        </c:rich>
      </c:tx>
      <c:layout>
        <c:manualLayout>
          <c:xMode val="edge"/>
          <c:yMode val="edge"/>
          <c:x val="0.31535998034106338"/>
          <c:y val="1.6528970086976173E-2"/>
        </c:manualLayout>
      </c:layout>
      <c:overlay val="0"/>
      <c:spPr>
        <a:noFill/>
        <a:ln w="25400">
          <a:noFill/>
        </a:ln>
      </c:spPr>
    </c:title>
    <c:autoTitleDeleted val="0"/>
    <c:plotArea>
      <c:layout>
        <c:manualLayout>
          <c:layoutTarget val="inner"/>
          <c:xMode val="edge"/>
          <c:yMode val="edge"/>
          <c:x val="0.10294134073309323"/>
          <c:y val="0.13803603986766558"/>
          <c:w val="0.87091642239267764"/>
          <c:h val="0.55618054562969821"/>
        </c:manualLayout>
      </c:layout>
      <c:barChart>
        <c:barDir val="col"/>
        <c:grouping val="stacked"/>
        <c:varyColors val="0"/>
        <c:ser>
          <c:idx val="0"/>
          <c:order val="0"/>
          <c:tx>
            <c:strRef>
              <c:f>'Statistics - Older People'!$P$351</c:f>
              <c:strCache>
                <c:ptCount val="1"/>
                <c:pt idx="0">
                  <c:v>Solely from Local Authority</c:v>
                </c:pt>
              </c:strCache>
            </c:strRef>
          </c:tx>
          <c:spPr>
            <a:solidFill>
              <a:srgbClr val="0000FF"/>
            </a:solidFill>
            <a:ln w="12700">
              <a:solidFill>
                <a:srgbClr val="000000"/>
              </a:solidFill>
              <a:prstDash val="solid"/>
            </a:ln>
          </c:spPr>
          <c:invertIfNegative val="0"/>
          <c:cat>
            <c:strRef>
              <c:f>'Statistics - Older People'!$O$352:$O$384</c:f>
              <c:strCache>
                <c:ptCount val="33"/>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Scotland</c:v>
                </c:pt>
                <c:pt idx="15">
                  <c:v>Eilean Siar</c:v>
                </c:pt>
                <c:pt idx="16">
                  <c:v>South Ayrshire</c:v>
                </c:pt>
                <c:pt idx="17">
                  <c:v>West Lothian</c:v>
                </c:pt>
                <c:pt idx="18">
                  <c:v>Angus</c:v>
                </c:pt>
                <c:pt idx="19">
                  <c:v>West Dunbartonshire</c:v>
                </c:pt>
                <c:pt idx="20">
                  <c:v>Midlothian</c:v>
                </c:pt>
                <c:pt idx="21">
                  <c:v>Moray</c:v>
                </c:pt>
                <c:pt idx="22">
                  <c:v>Dundee City</c:v>
                </c:pt>
                <c:pt idx="23">
                  <c:v>Shetland Islands</c:v>
                </c:pt>
                <c:pt idx="24">
                  <c:v>North Lanarkshire</c:v>
                </c:pt>
                <c:pt idx="25">
                  <c:v>Argyll &amp; Bute</c:v>
                </c:pt>
                <c:pt idx="26">
                  <c:v>Orkney Islands</c:v>
                </c:pt>
                <c:pt idx="27">
                  <c:v>Aberdeen City</c:v>
                </c:pt>
                <c:pt idx="28">
                  <c:v>Aberdeenshire</c:v>
                </c:pt>
                <c:pt idx="29">
                  <c:v>East Renfrewshire</c:v>
                </c:pt>
                <c:pt idx="30">
                  <c:v>Perth &amp; Kinross</c:v>
                </c:pt>
                <c:pt idx="31">
                  <c:v>Scottish Borders</c:v>
                </c:pt>
                <c:pt idx="32">
                  <c:v>Highland</c:v>
                </c:pt>
              </c:strCache>
            </c:strRef>
          </c:cat>
          <c:val>
            <c:numRef>
              <c:f>'Statistics - Older People'!$P$352:$P$384</c:f>
              <c:numCache>
                <c:formatCode>0.0</c:formatCode>
                <c:ptCount val="33"/>
                <c:pt idx="0">
                  <c:v>13.260254596888259</c:v>
                </c:pt>
                <c:pt idx="1">
                  <c:v>71.106897369044802</c:v>
                </c:pt>
                <c:pt idx="2">
                  <c:v>66.680344686089455</c:v>
                </c:pt>
                <c:pt idx="3">
                  <c:v>117.43324479239479</c:v>
                </c:pt>
                <c:pt idx="4">
                  <c:v>220.46549714969606</c:v>
                </c:pt>
                <c:pt idx="5">
                  <c:v>293.16168504238101</c:v>
                </c:pt>
                <c:pt idx="6">
                  <c:v>178.83997886436615</c:v>
                </c:pt>
                <c:pt idx="7">
                  <c:v>203.58020358020357</c:v>
                </c:pt>
                <c:pt idx="8">
                  <c:v>648.84536650186158</c:v>
                </c:pt>
                <c:pt idx="9">
                  <c:v>64.315575088433917</c:v>
                </c:pt>
                <c:pt idx="10">
                  <c:v>196.70254998032974</c:v>
                </c:pt>
                <c:pt idx="11">
                  <c:v>275.80262874380526</c:v>
                </c:pt>
                <c:pt idx="12">
                  <c:v>220.93072344257911</c:v>
                </c:pt>
                <c:pt idx="13">
                  <c:v>310.72073323149561</c:v>
                </c:pt>
                <c:pt idx="14">
                  <c:v>239.0568253047071</c:v>
                </c:pt>
                <c:pt idx="15">
                  <c:v>698.10735339745577</c:v>
                </c:pt>
                <c:pt idx="16">
                  <c:v>151.65301789505611</c:v>
                </c:pt>
                <c:pt idx="17">
                  <c:v>110.57869517139697</c:v>
                </c:pt>
                <c:pt idx="18">
                  <c:v>315.99890765809698</c:v>
                </c:pt>
                <c:pt idx="19">
                  <c:v>609.87230798551548</c:v>
                </c:pt>
                <c:pt idx="20">
                  <c:v>0</c:v>
                </c:pt>
                <c:pt idx="21">
                  <c:v>257.89473684210526</c:v>
                </c:pt>
                <c:pt idx="22">
                  <c:v>232.59420065126378</c:v>
                </c:pt>
                <c:pt idx="23">
                  <c:v>543.47826086956513</c:v>
                </c:pt>
                <c:pt idx="24">
                  <c:v>390.56796612644177</c:v>
                </c:pt>
                <c:pt idx="25">
                  <c:v>85.259568018188702</c:v>
                </c:pt>
                <c:pt idx="26">
                  <c:v>529.99788000847991</c:v>
                </c:pt>
                <c:pt idx="27">
                  <c:v>0</c:v>
                </c:pt>
                <c:pt idx="28">
                  <c:v>165.98235345505373</c:v>
                </c:pt>
                <c:pt idx="29">
                  <c:v>197.86307874950535</c:v>
                </c:pt>
                <c:pt idx="30">
                  <c:v>39.98031738221183</c:v>
                </c:pt>
                <c:pt idx="31">
                  <c:v>163.30560935779121</c:v>
                </c:pt>
                <c:pt idx="32">
                  <c:v>127.04363219827137</c:v>
                </c:pt>
              </c:numCache>
            </c:numRef>
          </c:val>
        </c:ser>
        <c:ser>
          <c:idx val="1"/>
          <c:order val="1"/>
          <c:tx>
            <c:strRef>
              <c:f>'Statistics - Older People'!$Q$351</c:f>
              <c:strCache>
                <c:ptCount val="1"/>
                <c:pt idx="0">
                  <c:v>Combination of LA and private/voluntary sector</c:v>
                </c:pt>
              </c:strCache>
            </c:strRef>
          </c:tx>
          <c:spPr>
            <a:solidFill>
              <a:srgbClr val="FF0000"/>
            </a:solidFill>
            <a:ln w="12700">
              <a:solidFill>
                <a:srgbClr val="000000"/>
              </a:solidFill>
              <a:prstDash val="solid"/>
            </a:ln>
          </c:spPr>
          <c:invertIfNegative val="0"/>
          <c:cat>
            <c:strRef>
              <c:f>'Statistics - Older People'!$O$352:$O$384</c:f>
              <c:strCache>
                <c:ptCount val="33"/>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Scotland</c:v>
                </c:pt>
                <c:pt idx="15">
                  <c:v>Eilean Siar</c:v>
                </c:pt>
                <c:pt idx="16">
                  <c:v>South Ayrshire</c:v>
                </c:pt>
                <c:pt idx="17">
                  <c:v>West Lothian</c:v>
                </c:pt>
                <c:pt idx="18">
                  <c:v>Angus</c:v>
                </c:pt>
                <c:pt idx="19">
                  <c:v>West Dunbartonshire</c:v>
                </c:pt>
                <c:pt idx="20">
                  <c:v>Midlothian</c:v>
                </c:pt>
                <c:pt idx="21">
                  <c:v>Moray</c:v>
                </c:pt>
                <c:pt idx="22">
                  <c:v>Dundee City</c:v>
                </c:pt>
                <c:pt idx="23">
                  <c:v>Shetland Islands</c:v>
                </c:pt>
                <c:pt idx="24">
                  <c:v>North Lanarkshire</c:v>
                </c:pt>
                <c:pt idx="25">
                  <c:v>Argyll &amp; Bute</c:v>
                </c:pt>
                <c:pt idx="26">
                  <c:v>Orkney Islands</c:v>
                </c:pt>
                <c:pt idx="27">
                  <c:v>Aberdeen City</c:v>
                </c:pt>
                <c:pt idx="28">
                  <c:v>Aberdeenshire</c:v>
                </c:pt>
                <c:pt idx="29">
                  <c:v>East Renfrewshire</c:v>
                </c:pt>
                <c:pt idx="30">
                  <c:v>Perth &amp; Kinross</c:v>
                </c:pt>
                <c:pt idx="31">
                  <c:v>Scottish Borders</c:v>
                </c:pt>
                <c:pt idx="32">
                  <c:v>Highland</c:v>
                </c:pt>
              </c:strCache>
            </c:strRef>
          </c:cat>
          <c:val>
            <c:numRef>
              <c:f>'Statistics - Older People'!$Q$352:$Q$384</c:f>
              <c:numCache>
                <c:formatCode>0.0</c:formatCode>
                <c:ptCount val="33"/>
                <c:pt idx="0">
                  <c:v>450.84865629420085</c:v>
                </c:pt>
                <c:pt idx="1">
                  <c:v>942.16639013984366</c:v>
                </c:pt>
                <c:pt idx="2">
                  <c:v>989.94665572425106</c:v>
                </c:pt>
                <c:pt idx="3">
                  <c:v>830.42080246050614</c:v>
                </c:pt>
                <c:pt idx="4">
                  <c:v>809.42332524959852</c:v>
                </c:pt>
                <c:pt idx="5">
                  <c:v>108.34236186348862</c:v>
                </c:pt>
                <c:pt idx="6">
                  <c:v>751.9408202251758</c:v>
                </c:pt>
                <c:pt idx="7">
                  <c:v>628.29062829062832</c:v>
                </c:pt>
                <c:pt idx="8">
                  <c:v>209.49804268971545</c:v>
                </c:pt>
                <c:pt idx="9">
                  <c:v>750.348376031729</c:v>
                </c:pt>
                <c:pt idx="10">
                  <c:v>493.54457995064553</c:v>
                </c:pt>
                <c:pt idx="11">
                  <c:v>452.48868778280541</c:v>
                </c:pt>
                <c:pt idx="12">
                  <c:v>453.11906336630875</c:v>
                </c:pt>
                <c:pt idx="13">
                  <c:v>345.4381335925566</c:v>
                </c:pt>
                <c:pt idx="14">
                  <c:v>405.51885657519858</c:v>
                </c:pt>
                <c:pt idx="15">
                  <c:v>0</c:v>
                </c:pt>
                <c:pt idx="16">
                  <c:v>545.95086442220202</c:v>
                </c:pt>
                <c:pt idx="17">
                  <c:v>571.32325838555107</c:v>
                </c:pt>
                <c:pt idx="18">
                  <c:v>148.24640112355166</c:v>
                </c:pt>
                <c:pt idx="19">
                  <c:v>25.411346166063147</c:v>
                </c:pt>
                <c:pt idx="20">
                  <c:v>646.89681675526799</c:v>
                </c:pt>
                <c:pt idx="21">
                  <c:v>326.31578947368422</c:v>
                </c:pt>
                <c:pt idx="22">
                  <c:v>232.59420065126378</c:v>
                </c:pt>
                <c:pt idx="23">
                  <c:v>0</c:v>
                </c:pt>
                <c:pt idx="24">
                  <c:v>60.227770477441958</c:v>
                </c:pt>
                <c:pt idx="25">
                  <c:v>468.92762410003792</c:v>
                </c:pt>
                <c:pt idx="26">
                  <c:v>0</c:v>
                </c:pt>
                <c:pt idx="27">
                  <c:v>516.62239864569051</c:v>
                </c:pt>
                <c:pt idx="28">
                  <c:v>179.08622346466325</c:v>
                </c:pt>
                <c:pt idx="29">
                  <c:v>90.451693142631015</c:v>
                </c:pt>
                <c:pt idx="30">
                  <c:v>282.93763070488376</c:v>
                </c:pt>
                <c:pt idx="31">
                  <c:v>136.72097527629029</c:v>
                </c:pt>
                <c:pt idx="32">
                  <c:v>127.04363219827137</c:v>
                </c:pt>
              </c:numCache>
            </c:numRef>
          </c:val>
        </c:ser>
        <c:ser>
          <c:idx val="2"/>
          <c:order val="2"/>
          <c:tx>
            <c:strRef>
              <c:f>'Statistics - Older People'!$R$351</c:f>
              <c:strCache>
                <c:ptCount val="1"/>
                <c:pt idx="0">
                  <c:v>Solely from private/voluntary sector</c:v>
                </c:pt>
              </c:strCache>
            </c:strRef>
          </c:tx>
          <c:spPr>
            <a:solidFill>
              <a:srgbClr val="008000"/>
            </a:solidFill>
            <a:ln w="12700">
              <a:solidFill>
                <a:srgbClr val="000000"/>
              </a:solidFill>
              <a:prstDash val="solid"/>
            </a:ln>
          </c:spPr>
          <c:invertIfNegative val="0"/>
          <c:cat>
            <c:strRef>
              <c:f>'Statistics - Older People'!$O$352:$O$384</c:f>
              <c:strCache>
                <c:ptCount val="33"/>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Scotland</c:v>
                </c:pt>
                <c:pt idx="15">
                  <c:v>Eilean Siar</c:v>
                </c:pt>
                <c:pt idx="16">
                  <c:v>South Ayrshire</c:v>
                </c:pt>
                <c:pt idx="17">
                  <c:v>West Lothian</c:v>
                </c:pt>
                <c:pt idx="18">
                  <c:v>Angus</c:v>
                </c:pt>
                <c:pt idx="19">
                  <c:v>West Dunbartonshire</c:v>
                </c:pt>
                <c:pt idx="20">
                  <c:v>Midlothian</c:v>
                </c:pt>
                <c:pt idx="21">
                  <c:v>Moray</c:v>
                </c:pt>
                <c:pt idx="22">
                  <c:v>Dundee City</c:v>
                </c:pt>
                <c:pt idx="23">
                  <c:v>Shetland Islands</c:v>
                </c:pt>
                <c:pt idx="24">
                  <c:v>North Lanarkshire</c:v>
                </c:pt>
                <c:pt idx="25">
                  <c:v>Argyll &amp; Bute</c:v>
                </c:pt>
                <c:pt idx="26">
                  <c:v>Orkney Islands</c:v>
                </c:pt>
                <c:pt idx="27">
                  <c:v>Aberdeen City</c:v>
                </c:pt>
                <c:pt idx="28">
                  <c:v>Aberdeenshire</c:v>
                </c:pt>
                <c:pt idx="29">
                  <c:v>East Renfrewshire</c:v>
                </c:pt>
                <c:pt idx="30">
                  <c:v>Perth &amp; Kinross</c:v>
                </c:pt>
                <c:pt idx="31">
                  <c:v>Scottish Borders</c:v>
                </c:pt>
                <c:pt idx="32">
                  <c:v>Highland</c:v>
                </c:pt>
              </c:strCache>
            </c:strRef>
          </c:cat>
          <c:val>
            <c:numRef>
              <c:f>'Statistics - Older People'!$R$352:$R$384</c:f>
              <c:numCache>
                <c:formatCode>0.0</c:formatCode>
                <c:ptCount val="33"/>
                <c:pt idx="0">
                  <c:v>525.99009900990097</c:v>
                </c:pt>
                <c:pt idx="1">
                  <c:v>23.702299123014932</c:v>
                </c:pt>
                <c:pt idx="2">
                  <c:v>30.775543701272056</c:v>
                </c:pt>
                <c:pt idx="3">
                  <c:v>120.22927443030896</c:v>
                </c:pt>
                <c:pt idx="4">
                  <c:v>40.943592327800694</c:v>
                </c:pt>
                <c:pt idx="5">
                  <c:v>656.42725129054872</c:v>
                </c:pt>
                <c:pt idx="6">
                  <c:v>44.709994716091536</c:v>
                </c:pt>
                <c:pt idx="7">
                  <c:v>70.200070200070201</c:v>
                </c:pt>
                <c:pt idx="8">
                  <c:v>38.308213520405111</c:v>
                </c:pt>
                <c:pt idx="9">
                  <c:v>0</c:v>
                </c:pt>
                <c:pt idx="10">
                  <c:v>57.222559994277745</c:v>
                </c:pt>
                <c:pt idx="11">
                  <c:v>43.094160741219561</c:v>
                </c:pt>
                <c:pt idx="12">
                  <c:v>70.360103007190801</c:v>
                </c:pt>
                <c:pt idx="13">
                  <c:v>53.811970559644493</c:v>
                </c:pt>
                <c:pt idx="14">
                  <c:v>74.453551207211163</c:v>
                </c:pt>
                <c:pt idx="15">
                  <c:v>0</c:v>
                </c:pt>
                <c:pt idx="16">
                  <c:v>0</c:v>
                </c:pt>
                <c:pt idx="17">
                  <c:v>14.743826022852931</c:v>
                </c:pt>
                <c:pt idx="18">
                  <c:v>198.96227519213514</c:v>
                </c:pt>
                <c:pt idx="19">
                  <c:v>31.764182707578936</c:v>
                </c:pt>
                <c:pt idx="20">
                  <c:v>6.4049189777749316</c:v>
                </c:pt>
                <c:pt idx="21">
                  <c:v>57.89473684210526</c:v>
                </c:pt>
                <c:pt idx="22">
                  <c:v>135.67995037990386</c:v>
                </c:pt>
                <c:pt idx="23">
                  <c:v>47.258979206049148</c:v>
                </c:pt>
                <c:pt idx="24">
                  <c:v>133.23112863191707</c:v>
                </c:pt>
                <c:pt idx="25">
                  <c:v>18.946570670708603</c:v>
                </c:pt>
                <c:pt idx="26">
                  <c:v>0</c:v>
                </c:pt>
                <c:pt idx="27">
                  <c:v>0</c:v>
                </c:pt>
                <c:pt idx="28">
                  <c:v>48.047523368568186</c:v>
                </c:pt>
                <c:pt idx="29">
                  <c:v>56.532308214144386</c:v>
                </c:pt>
                <c:pt idx="30">
                  <c:v>3.0754090294009102</c:v>
                </c:pt>
                <c:pt idx="31">
                  <c:v>18.989024343929209</c:v>
                </c:pt>
                <c:pt idx="32">
                  <c:v>35.405602415911694</c:v>
                </c:pt>
              </c:numCache>
            </c:numRef>
          </c:val>
        </c:ser>
        <c:ser>
          <c:idx val="5"/>
          <c:order val="3"/>
          <c:tx>
            <c:strRef>
              <c:f>'Statistics - Older People'!$S$351</c:f>
              <c:strCache>
                <c:ptCount val="1"/>
                <c:pt idx="0">
                  <c:v>Other combination</c:v>
                </c:pt>
              </c:strCache>
            </c:strRef>
          </c:tx>
          <c:spPr>
            <a:solidFill>
              <a:srgbClr val="FFFF00"/>
            </a:solidFill>
            <a:ln w="12700">
              <a:solidFill>
                <a:srgbClr val="000000"/>
              </a:solidFill>
            </a:ln>
          </c:spPr>
          <c:invertIfNegative val="0"/>
          <c:cat>
            <c:strRef>
              <c:f>'Statistics - Older People'!$O$352:$O$384</c:f>
              <c:strCache>
                <c:ptCount val="33"/>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Scotland</c:v>
                </c:pt>
                <c:pt idx="15">
                  <c:v>Eilean Siar</c:v>
                </c:pt>
                <c:pt idx="16">
                  <c:v>South Ayrshire</c:v>
                </c:pt>
                <c:pt idx="17">
                  <c:v>West Lothian</c:v>
                </c:pt>
                <c:pt idx="18">
                  <c:v>Angus</c:v>
                </c:pt>
                <c:pt idx="19">
                  <c:v>West Dunbartonshire</c:v>
                </c:pt>
                <c:pt idx="20">
                  <c:v>Midlothian</c:v>
                </c:pt>
                <c:pt idx="21">
                  <c:v>Moray</c:v>
                </c:pt>
                <c:pt idx="22">
                  <c:v>Dundee City</c:v>
                </c:pt>
                <c:pt idx="23">
                  <c:v>Shetland Islands</c:v>
                </c:pt>
                <c:pt idx="24">
                  <c:v>North Lanarkshire</c:v>
                </c:pt>
                <c:pt idx="25">
                  <c:v>Argyll &amp; Bute</c:v>
                </c:pt>
                <c:pt idx="26">
                  <c:v>Orkney Islands</c:v>
                </c:pt>
                <c:pt idx="27">
                  <c:v>Aberdeen City</c:v>
                </c:pt>
                <c:pt idx="28">
                  <c:v>Aberdeenshire</c:v>
                </c:pt>
                <c:pt idx="29">
                  <c:v>East Renfrewshire</c:v>
                </c:pt>
                <c:pt idx="30">
                  <c:v>Perth &amp; Kinross</c:v>
                </c:pt>
                <c:pt idx="31">
                  <c:v>Scottish Borders</c:v>
                </c:pt>
                <c:pt idx="32">
                  <c:v>Highland</c:v>
                </c:pt>
              </c:strCache>
            </c:strRef>
          </c:cat>
          <c:val>
            <c:numRef>
              <c:f>'Statistics - Older People'!$S$352:$S$384</c:f>
              <c:numCache>
                <c:formatCode>0.0</c:formatCode>
                <c:ptCount val="33"/>
                <c:pt idx="0">
                  <c:v>8.8401697312588396</c:v>
                </c:pt>
                <c:pt idx="1">
                  <c:v>82.958046930552271</c:v>
                </c:pt>
                <c:pt idx="2">
                  <c:v>25.64628641772671</c:v>
                </c:pt>
                <c:pt idx="3">
                  <c:v>30.75632601705578</c:v>
                </c:pt>
                <c:pt idx="4">
                  <c:v>18.89704261283109</c:v>
                </c:pt>
                <c:pt idx="5">
                  <c:v>0</c:v>
                </c:pt>
                <c:pt idx="6">
                  <c:v>10.838786597840372</c:v>
                </c:pt>
                <c:pt idx="7">
                  <c:v>0</c:v>
                </c:pt>
                <c:pt idx="8">
                  <c:v>0</c:v>
                </c:pt>
                <c:pt idx="9">
                  <c:v>10.719262514738986</c:v>
                </c:pt>
                <c:pt idx="10">
                  <c:v>28.611279997138872</c:v>
                </c:pt>
                <c:pt idx="11">
                  <c:v>0</c:v>
                </c:pt>
                <c:pt idx="12">
                  <c:v>18.293626781869609</c:v>
                </c:pt>
                <c:pt idx="13">
                  <c:v>29.509790306901817</c:v>
                </c:pt>
                <c:pt idx="14">
                  <c:v>10.016635876698311</c:v>
                </c:pt>
                <c:pt idx="15">
                  <c:v>0</c:v>
                </c:pt>
                <c:pt idx="16">
                  <c:v>0</c:v>
                </c:pt>
                <c:pt idx="17">
                  <c:v>0</c:v>
                </c:pt>
                <c:pt idx="18">
                  <c:v>11.703663246596184</c:v>
                </c:pt>
                <c:pt idx="19">
                  <c:v>0</c:v>
                </c:pt>
                <c:pt idx="20">
                  <c:v>0</c:v>
                </c:pt>
                <c:pt idx="21">
                  <c:v>5.2631578947368416</c:v>
                </c:pt>
                <c:pt idx="22">
                  <c:v>19.38285005427198</c:v>
                </c:pt>
                <c:pt idx="23">
                  <c:v>0</c:v>
                </c:pt>
                <c:pt idx="24">
                  <c:v>0</c:v>
                </c:pt>
                <c:pt idx="25">
                  <c:v>4.7366426676771507</c:v>
                </c:pt>
                <c:pt idx="26">
                  <c:v>0</c:v>
                </c:pt>
                <c:pt idx="27">
                  <c:v>5.8375412276349206</c:v>
                </c:pt>
                <c:pt idx="28">
                  <c:v>0</c:v>
                </c:pt>
                <c:pt idx="29">
                  <c:v>0</c:v>
                </c:pt>
                <c:pt idx="30">
                  <c:v>0</c:v>
                </c:pt>
                <c:pt idx="31">
                  <c:v>0</c:v>
                </c:pt>
                <c:pt idx="32">
                  <c:v>0</c:v>
                </c:pt>
              </c:numCache>
            </c:numRef>
          </c:val>
        </c:ser>
        <c:dLbls>
          <c:showLegendKey val="0"/>
          <c:showVal val="0"/>
          <c:showCatName val="0"/>
          <c:showSerName val="0"/>
          <c:showPercent val="0"/>
          <c:showBubbleSize val="0"/>
        </c:dLbls>
        <c:gapWidth val="150"/>
        <c:overlap val="100"/>
        <c:axId val="313601408"/>
        <c:axId val="313603200"/>
      </c:barChart>
      <c:lineChart>
        <c:grouping val="standard"/>
        <c:varyColors val="0"/>
        <c:ser>
          <c:idx val="3"/>
          <c:order val="4"/>
          <c:tx>
            <c:strRef>
              <c:f>'Statistics - Older People'!$W$351</c:f>
              <c:strCache>
                <c:ptCount val="1"/>
                <c:pt idx="0">
                  <c:v>Highlight</c:v>
                </c:pt>
              </c:strCache>
            </c:strRef>
          </c:tx>
          <c:spPr>
            <a:ln w="28575">
              <a:noFill/>
            </a:ln>
          </c:spPr>
          <c:marker>
            <c:symbol val="none"/>
          </c:marker>
          <c:dLbls>
            <c:spPr>
              <a:noFill/>
              <a:ln w="25400">
                <a:noFill/>
              </a:ln>
            </c:spPr>
            <c:txPr>
              <a:bodyPr rot="-5400000" vert="horz"/>
              <a:lstStyle/>
              <a:p>
                <a:pPr algn="ctr">
                  <a:defRPr sz="800" b="1" i="0" u="none" strike="noStrike" baseline="0">
                    <a:solidFill>
                      <a:srgbClr val="FF0000"/>
                    </a:solidFill>
                    <a:latin typeface="Calibri"/>
                    <a:ea typeface="Calibri"/>
                    <a:cs typeface="Calibri"/>
                  </a:defRPr>
                </a:pPr>
                <a:endParaRPr lang="en-US"/>
              </a:p>
            </c:txPr>
            <c:dLblPos val="b"/>
            <c:showLegendKey val="0"/>
            <c:showVal val="0"/>
            <c:showCatName val="1"/>
            <c:showSerName val="0"/>
            <c:showPercent val="0"/>
            <c:showBubbleSize val="0"/>
            <c:showLeaderLines val="0"/>
          </c:dLbls>
          <c:cat>
            <c:strRef>
              <c:f>'Statistics - Older People'!$O$352:$O$384</c:f>
              <c:strCache>
                <c:ptCount val="33"/>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Scotland</c:v>
                </c:pt>
                <c:pt idx="15">
                  <c:v>Eilean Siar</c:v>
                </c:pt>
                <c:pt idx="16">
                  <c:v>South Ayrshire</c:v>
                </c:pt>
                <c:pt idx="17">
                  <c:v>West Lothian</c:v>
                </c:pt>
                <c:pt idx="18">
                  <c:v>Angus</c:v>
                </c:pt>
                <c:pt idx="19">
                  <c:v>West Dunbartonshire</c:v>
                </c:pt>
                <c:pt idx="20">
                  <c:v>Midlothian</c:v>
                </c:pt>
                <c:pt idx="21">
                  <c:v>Moray</c:v>
                </c:pt>
                <c:pt idx="22">
                  <c:v>Dundee City</c:v>
                </c:pt>
                <c:pt idx="23">
                  <c:v>Shetland Islands</c:v>
                </c:pt>
                <c:pt idx="24">
                  <c:v>North Lanarkshire</c:v>
                </c:pt>
                <c:pt idx="25">
                  <c:v>Argyll &amp; Bute</c:v>
                </c:pt>
                <c:pt idx="26">
                  <c:v>Orkney Islands</c:v>
                </c:pt>
                <c:pt idx="27">
                  <c:v>Aberdeen City</c:v>
                </c:pt>
                <c:pt idx="28">
                  <c:v>Aberdeenshire</c:v>
                </c:pt>
                <c:pt idx="29">
                  <c:v>East Renfrewshire</c:v>
                </c:pt>
                <c:pt idx="30">
                  <c:v>Perth &amp; Kinross</c:v>
                </c:pt>
                <c:pt idx="31">
                  <c:v>Scottish Borders</c:v>
                </c:pt>
                <c:pt idx="32">
                  <c:v>Highland</c:v>
                </c:pt>
              </c:strCache>
            </c:strRef>
          </c:cat>
          <c:val>
            <c:numRef>
              <c:f>'Statistics - Older People'!$V$352:$V$384</c:f>
              <c:numCache>
                <c:formatCode>0.0</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0</c:v>
                </c:pt>
                <c:pt idx="28">
                  <c:v>#N/A</c:v>
                </c:pt>
                <c:pt idx="29">
                  <c:v>#N/A</c:v>
                </c:pt>
                <c:pt idx="30">
                  <c:v>#N/A</c:v>
                </c:pt>
                <c:pt idx="31">
                  <c:v>#N/A</c:v>
                </c:pt>
                <c:pt idx="32">
                  <c:v>#N/A</c:v>
                </c:pt>
              </c:numCache>
            </c:numRef>
          </c:val>
          <c:smooth val="0"/>
        </c:ser>
        <c:ser>
          <c:idx val="4"/>
          <c:order val="5"/>
          <c:tx>
            <c:strRef>
              <c:f>'Statistics - Older People'!$X$351</c:f>
              <c:strCache>
                <c:ptCount val="1"/>
                <c:pt idx="0">
                  <c:v>Don't</c:v>
                </c:pt>
              </c:strCache>
            </c:strRef>
          </c:tx>
          <c:spPr>
            <a:ln w="28575">
              <a:noFill/>
            </a:ln>
          </c:spPr>
          <c:marker>
            <c:symbol val="none"/>
          </c:marker>
          <c:dLbls>
            <c:spPr>
              <a:noFill/>
              <a:ln w="25400">
                <a:noFill/>
              </a:ln>
            </c:spPr>
            <c:txPr>
              <a:bodyPr rot="-5400000" vert="horz"/>
              <a:lstStyle/>
              <a:p>
                <a:pPr algn="ctr">
                  <a:defRPr sz="800" b="0" i="0" u="none" strike="noStrike" baseline="0">
                    <a:solidFill>
                      <a:srgbClr val="000000"/>
                    </a:solidFill>
                    <a:latin typeface="Calibri"/>
                    <a:ea typeface="Calibri"/>
                    <a:cs typeface="Calibri"/>
                  </a:defRPr>
                </a:pPr>
                <a:endParaRPr lang="en-US"/>
              </a:p>
            </c:txPr>
            <c:dLblPos val="b"/>
            <c:showLegendKey val="0"/>
            <c:showVal val="0"/>
            <c:showCatName val="1"/>
            <c:showSerName val="0"/>
            <c:showPercent val="0"/>
            <c:showBubbleSize val="0"/>
            <c:showLeaderLines val="0"/>
          </c:dLbls>
          <c:cat>
            <c:strRef>
              <c:f>'Statistics - Older People'!$O$352:$O$384</c:f>
              <c:strCache>
                <c:ptCount val="33"/>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Scotland</c:v>
                </c:pt>
                <c:pt idx="15">
                  <c:v>Eilean Siar</c:v>
                </c:pt>
                <c:pt idx="16">
                  <c:v>South Ayrshire</c:v>
                </c:pt>
                <c:pt idx="17">
                  <c:v>West Lothian</c:v>
                </c:pt>
                <c:pt idx="18">
                  <c:v>Angus</c:v>
                </c:pt>
                <c:pt idx="19">
                  <c:v>West Dunbartonshire</c:v>
                </c:pt>
                <c:pt idx="20">
                  <c:v>Midlothian</c:v>
                </c:pt>
                <c:pt idx="21">
                  <c:v>Moray</c:v>
                </c:pt>
                <c:pt idx="22">
                  <c:v>Dundee City</c:v>
                </c:pt>
                <c:pt idx="23">
                  <c:v>Shetland Islands</c:v>
                </c:pt>
                <c:pt idx="24">
                  <c:v>North Lanarkshire</c:v>
                </c:pt>
                <c:pt idx="25">
                  <c:v>Argyll &amp; Bute</c:v>
                </c:pt>
                <c:pt idx="26">
                  <c:v>Orkney Islands</c:v>
                </c:pt>
                <c:pt idx="27">
                  <c:v>Aberdeen City</c:v>
                </c:pt>
                <c:pt idx="28">
                  <c:v>Aberdeenshire</c:v>
                </c:pt>
                <c:pt idx="29">
                  <c:v>East Renfrewshire</c:v>
                </c:pt>
                <c:pt idx="30">
                  <c:v>Perth &amp; Kinross</c:v>
                </c:pt>
                <c:pt idx="31">
                  <c:v>Scottish Borders</c:v>
                </c:pt>
                <c:pt idx="32">
                  <c:v>Highland</c:v>
                </c:pt>
              </c:strCache>
            </c:strRef>
          </c:cat>
          <c:val>
            <c:numRef>
              <c:f>'Statistics - Older People'!$W$352:$W$384</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#N/A</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13601408"/>
        <c:axId val="313603200"/>
      </c:lineChart>
      <c:catAx>
        <c:axId val="313601408"/>
        <c:scaling>
          <c:orientation val="minMax"/>
        </c:scaling>
        <c:delete val="0"/>
        <c:axPos val="b"/>
        <c:numFmt formatCode="General" sourceLinked="1"/>
        <c:majorTickMark val="out"/>
        <c:minorTickMark val="none"/>
        <c:tickLblPos val="none"/>
        <c:spPr>
          <a:ln w="3175">
            <a:solidFill>
              <a:srgbClr val="000000"/>
            </a:solidFill>
            <a:prstDash val="solid"/>
          </a:ln>
        </c:spPr>
        <c:crossAx val="313603200"/>
        <c:crosses val="autoZero"/>
        <c:auto val="0"/>
        <c:lblAlgn val="ctr"/>
        <c:lblOffset val="100"/>
        <c:tickLblSkip val="1"/>
        <c:tickMarkSkip val="1"/>
        <c:noMultiLvlLbl val="0"/>
      </c:catAx>
      <c:valAx>
        <c:axId val="3136032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1.6437144452112599E-3"/>
              <c:y val="0.212121854889001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601408"/>
        <c:crosses val="autoZero"/>
        <c:crossBetween val="between"/>
      </c:valAx>
      <c:spPr>
        <a:noFill/>
        <a:ln w="25400">
          <a:noFill/>
        </a:ln>
      </c:spPr>
    </c:plotArea>
    <c:legend>
      <c:legendPos val="b"/>
      <c:legendEntry>
        <c:idx val="4"/>
        <c:delete val="1"/>
      </c:legendEntry>
      <c:legendEntry>
        <c:idx val="5"/>
        <c:delete val="1"/>
      </c:legendEntry>
      <c:layout>
        <c:manualLayout>
          <c:xMode val="edge"/>
          <c:yMode val="edge"/>
          <c:x val="0.50206347358084025"/>
          <c:y val="0.1460550673002172"/>
          <c:w val="0.46740089573473226"/>
          <c:h val="0.17064088306623579"/>
        </c:manualLayout>
      </c:layout>
      <c:overlay val="1"/>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Balance of care: Supported in care homes and intensive home care, 2014/15</a:t>
            </a:r>
          </a:p>
        </c:rich>
      </c:tx>
      <c:layout>
        <c:manualLayout>
          <c:xMode val="edge"/>
          <c:yMode val="edge"/>
          <c:x val="0.13673816600771438"/>
          <c:y val="1.7341064934441798E-2"/>
        </c:manualLayout>
      </c:layout>
      <c:overlay val="0"/>
      <c:spPr>
        <a:noFill/>
        <a:ln w="25400">
          <a:noFill/>
        </a:ln>
      </c:spPr>
    </c:title>
    <c:autoTitleDeleted val="0"/>
    <c:plotArea>
      <c:layout>
        <c:manualLayout>
          <c:layoutTarget val="inner"/>
          <c:xMode val="edge"/>
          <c:yMode val="edge"/>
          <c:x val="0.10049434804464215"/>
          <c:y val="0.20535745852783727"/>
          <c:w val="0.87149987732627587"/>
          <c:h val="0.47207951487901845"/>
        </c:manualLayout>
      </c:layout>
      <c:barChart>
        <c:barDir val="col"/>
        <c:grouping val="percentStacked"/>
        <c:varyColors val="0"/>
        <c:ser>
          <c:idx val="0"/>
          <c:order val="0"/>
          <c:tx>
            <c:strRef>
              <c:f>'Statistics - Older People'!$B$393</c:f>
              <c:strCache>
                <c:ptCount val="1"/>
                <c:pt idx="0">
                  <c:v>Supported in care homes</c:v>
                </c:pt>
              </c:strCache>
            </c:strRef>
          </c:tx>
          <c:spPr>
            <a:solidFill>
              <a:srgbClr val="0000FF"/>
            </a:solidFill>
            <a:ln w="12700">
              <a:solidFill>
                <a:srgbClr val="000000"/>
              </a:solidFill>
              <a:prstDash val="solid"/>
            </a:ln>
          </c:spPr>
          <c:invertIfNegative val="0"/>
          <c:cat>
            <c:strRef>
              <c:f>'Statistics - Older People'!$A$394:$A$426</c:f>
              <c:strCache>
                <c:ptCount val="33"/>
                <c:pt idx="0">
                  <c:v>Fife</c:v>
                </c:pt>
                <c:pt idx="1">
                  <c:v>Highland</c:v>
                </c:pt>
                <c:pt idx="2">
                  <c:v>East Renfrewshire</c:v>
                </c:pt>
                <c:pt idx="3">
                  <c:v>Aberdeen City</c:v>
                </c:pt>
                <c:pt idx="4">
                  <c:v>Scottish Borders</c:v>
                </c:pt>
                <c:pt idx="5">
                  <c:v>Perth &amp; Kinross</c:v>
                </c:pt>
                <c:pt idx="6">
                  <c:v>Falkirk</c:v>
                </c:pt>
                <c:pt idx="7">
                  <c:v>Aberdeenshire</c:v>
                </c:pt>
                <c:pt idx="8">
                  <c:v>Dundee City</c:v>
                </c:pt>
                <c:pt idx="9">
                  <c:v>East Ayrshire</c:v>
                </c:pt>
                <c:pt idx="10">
                  <c:v>Renfrewshire</c:v>
                </c:pt>
                <c:pt idx="11">
                  <c:v>Midlothian</c:v>
                </c:pt>
                <c:pt idx="12">
                  <c:v>South Ayrshire</c:v>
                </c:pt>
                <c:pt idx="13">
                  <c:v>Angus</c:v>
                </c:pt>
                <c:pt idx="14">
                  <c:v>Inverclyde</c:v>
                </c:pt>
                <c:pt idx="15">
                  <c:v>Scotland</c:v>
                </c:pt>
                <c:pt idx="16">
                  <c:v>South Lanarkshire</c:v>
                </c:pt>
                <c:pt idx="17">
                  <c:v>Edinburgh</c:v>
                </c:pt>
                <c:pt idx="18">
                  <c:v>West Dunbartonshire</c:v>
                </c:pt>
                <c:pt idx="19">
                  <c:v>Orkney Islands</c:v>
                </c:pt>
                <c:pt idx="20">
                  <c:v>East Lothian</c:v>
                </c:pt>
                <c:pt idx="21">
                  <c:v>North Ayrshire</c:v>
                </c:pt>
                <c:pt idx="22">
                  <c:v>West Lothian</c:v>
                </c:pt>
                <c:pt idx="23">
                  <c:v>Glasgow City</c:v>
                </c:pt>
                <c:pt idx="24">
                  <c:v>Stirling</c:v>
                </c:pt>
                <c:pt idx="25">
                  <c:v>Moray</c:v>
                </c:pt>
                <c:pt idx="26">
                  <c:v>Shetland Islands</c:v>
                </c:pt>
                <c:pt idx="27">
                  <c:v>Eilean Siar</c:v>
                </c:pt>
                <c:pt idx="28">
                  <c:v>Clackmannanshire</c:v>
                </c:pt>
                <c:pt idx="29">
                  <c:v>East Dunbartonshire</c:v>
                </c:pt>
                <c:pt idx="30">
                  <c:v>Argyll &amp; Bute</c:v>
                </c:pt>
                <c:pt idx="31">
                  <c:v>North Lanarkshire</c:v>
                </c:pt>
                <c:pt idx="32">
                  <c:v>Dumfries &amp; Galloway</c:v>
                </c:pt>
              </c:strCache>
            </c:strRef>
          </c:cat>
          <c:val>
            <c:numRef>
              <c:f>'Statistics - Older People'!$B$394:$B$426</c:f>
              <c:numCache>
                <c:formatCode>0.0</c:formatCode>
                <c:ptCount val="33"/>
                <c:pt idx="0">
                  <c:v>31.099165529178336</c:v>
                </c:pt>
                <c:pt idx="1">
                  <c:v>32.489846922836612</c:v>
                </c:pt>
                <c:pt idx="2">
                  <c:v>32.223415682062303</c:v>
                </c:pt>
                <c:pt idx="3">
                  <c:v>39.403403286535706</c:v>
                </c:pt>
                <c:pt idx="4">
                  <c:v>24.685731647107971</c:v>
                </c:pt>
                <c:pt idx="5">
                  <c:v>24.295731332267192</c:v>
                </c:pt>
                <c:pt idx="6">
                  <c:v>30.757125996924287</c:v>
                </c:pt>
                <c:pt idx="7">
                  <c:v>30.794094522582338</c:v>
                </c:pt>
                <c:pt idx="8">
                  <c:v>40.703985113971157</c:v>
                </c:pt>
                <c:pt idx="9">
                  <c:v>31.027795733678087</c:v>
                </c:pt>
                <c:pt idx="10">
                  <c:v>31.180120311171304</c:v>
                </c:pt>
                <c:pt idx="11">
                  <c:v>26.260167808877217</c:v>
                </c:pt>
                <c:pt idx="12">
                  <c:v>34.121929026387626</c:v>
                </c:pt>
                <c:pt idx="13">
                  <c:v>27.698669683610969</c:v>
                </c:pt>
                <c:pt idx="14">
                  <c:v>43.336944745395449</c:v>
                </c:pt>
                <c:pt idx="15">
                  <c:v>31.24777336380318</c:v>
                </c:pt>
                <c:pt idx="16">
                  <c:v>29.336203305096515</c:v>
                </c:pt>
                <c:pt idx="17">
                  <c:v>35.090571610508199</c:v>
                </c:pt>
                <c:pt idx="18">
                  <c:v>34.305317324185253</c:v>
                </c:pt>
                <c:pt idx="19">
                  <c:v>21.199915200339198</c:v>
                </c:pt>
                <c:pt idx="20">
                  <c:v>29.236766516208451</c:v>
                </c:pt>
                <c:pt idx="21">
                  <c:v>32.292032292032296</c:v>
                </c:pt>
                <c:pt idx="22">
                  <c:v>25.064504238849985</c:v>
                </c:pt>
                <c:pt idx="23">
                  <c:v>42.737600708701954</c:v>
                </c:pt>
                <c:pt idx="24">
                  <c:v>26.072529035316428</c:v>
                </c:pt>
                <c:pt idx="25">
                  <c:v>25.789473684210524</c:v>
                </c:pt>
                <c:pt idx="26">
                  <c:v>23.629489603024574</c:v>
                </c:pt>
                <c:pt idx="27">
                  <c:v>27.924294135898233</c:v>
                </c:pt>
                <c:pt idx="28">
                  <c:v>21.438525029477972</c:v>
                </c:pt>
                <c:pt idx="29">
                  <c:v>28.288543140028288</c:v>
                </c:pt>
                <c:pt idx="30">
                  <c:v>24.156877605153465</c:v>
                </c:pt>
                <c:pt idx="31">
                  <c:v>23.54358300481822</c:v>
                </c:pt>
                <c:pt idx="32">
                  <c:v>25.723472668810288</c:v>
                </c:pt>
              </c:numCache>
            </c:numRef>
          </c:val>
        </c:ser>
        <c:ser>
          <c:idx val="1"/>
          <c:order val="1"/>
          <c:tx>
            <c:strRef>
              <c:f>'Statistics - Older People'!$C$393</c:f>
              <c:strCache>
                <c:ptCount val="1"/>
                <c:pt idx="0">
                  <c:v>Intensive Home care (10+ hours per week)</c:v>
                </c:pt>
              </c:strCache>
            </c:strRef>
          </c:tx>
          <c:spPr>
            <a:solidFill>
              <a:srgbClr val="FF0000"/>
            </a:solidFill>
            <a:ln w="12700">
              <a:solidFill>
                <a:srgbClr val="000000"/>
              </a:solidFill>
              <a:prstDash val="solid"/>
            </a:ln>
          </c:spPr>
          <c:invertIfNegative val="0"/>
          <c:cat>
            <c:strRef>
              <c:f>'Statistics - Older People'!$A$394:$A$426</c:f>
              <c:strCache>
                <c:ptCount val="33"/>
                <c:pt idx="0">
                  <c:v>Fife</c:v>
                </c:pt>
                <c:pt idx="1">
                  <c:v>Highland</c:v>
                </c:pt>
                <c:pt idx="2">
                  <c:v>East Renfrewshire</c:v>
                </c:pt>
                <c:pt idx="3">
                  <c:v>Aberdeen City</c:v>
                </c:pt>
                <c:pt idx="4">
                  <c:v>Scottish Borders</c:v>
                </c:pt>
                <c:pt idx="5">
                  <c:v>Perth &amp; Kinross</c:v>
                </c:pt>
                <c:pt idx="6">
                  <c:v>Falkirk</c:v>
                </c:pt>
                <c:pt idx="7">
                  <c:v>Aberdeenshire</c:v>
                </c:pt>
                <c:pt idx="8">
                  <c:v>Dundee City</c:v>
                </c:pt>
                <c:pt idx="9">
                  <c:v>East Ayrshire</c:v>
                </c:pt>
                <c:pt idx="10">
                  <c:v>Renfrewshire</c:v>
                </c:pt>
                <c:pt idx="11">
                  <c:v>Midlothian</c:v>
                </c:pt>
                <c:pt idx="12">
                  <c:v>South Ayrshire</c:v>
                </c:pt>
                <c:pt idx="13">
                  <c:v>Angus</c:v>
                </c:pt>
                <c:pt idx="14">
                  <c:v>Inverclyde</c:v>
                </c:pt>
                <c:pt idx="15">
                  <c:v>Scotland</c:v>
                </c:pt>
                <c:pt idx="16">
                  <c:v>South Lanarkshire</c:v>
                </c:pt>
                <c:pt idx="17">
                  <c:v>Edinburgh</c:v>
                </c:pt>
                <c:pt idx="18">
                  <c:v>West Dunbartonshire</c:v>
                </c:pt>
                <c:pt idx="19">
                  <c:v>Orkney Islands</c:v>
                </c:pt>
                <c:pt idx="20">
                  <c:v>East Lothian</c:v>
                </c:pt>
                <c:pt idx="21">
                  <c:v>North Ayrshire</c:v>
                </c:pt>
                <c:pt idx="22">
                  <c:v>West Lothian</c:v>
                </c:pt>
                <c:pt idx="23">
                  <c:v>Glasgow City</c:v>
                </c:pt>
                <c:pt idx="24">
                  <c:v>Stirling</c:v>
                </c:pt>
                <c:pt idx="25">
                  <c:v>Moray</c:v>
                </c:pt>
                <c:pt idx="26">
                  <c:v>Shetland Islands</c:v>
                </c:pt>
                <c:pt idx="27">
                  <c:v>Eilean Siar</c:v>
                </c:pt>
                <c:pt idx="28">
                  <c:v>Clackmannanshire</c:v>
                </c:pt>
                <c:pt idx="29">
                  <c:v>East Dunbartonshire</c:v>
                </c:pt>
                <c:pt idx="30">
                  <c:v>Argyll &amp; Bute</c:v>
                </c:pt>
                <c:pt idx="31">
                  <c:v>North Lanarkshire</c:v>
                </c:pt>
                <c:pt idx="32">
                  <c:v>Dumfries &amp; Galloway</c:v>
                </c:pt>
              </c:strCache>
            </c:strRef>
          </c:cat>
          <c:val>
            <c:numRef>
              <c:f>'Statistics - Older People'!$C$394:$C$426</c:f>
              <c:numCache>
                <c:formatCode>0.0</c:formatCode>
                <c:ptCount val="33"/>
                <c:pt idx="0">
                  <c:v>8.1195558870298186</c:v>
                </c:pt>
                <c:pt idx="1">
                  <c:v>9.0180152035822143</c:v>
                </c:pt>
                <c:pt idx="2">
                  <c:v>9.6670247046186901</c:v>
                </c:pt>
                <c:pt idx="3">
                  <c:v>13.163655468316744</c:v>
                </c:pt>
                <c:pt idx="4">
                  <c:v>8.6210170521438609</c:v>
                </c:pt>
                <c:pt idx="5">
                  <c:v>9.0417025464386764</c:v>
                </c:pt>
                <c:pt idx="6">
                  <c:v>12.660491398733951</c:v>
                </c:pt>
                <c:pt idx="7">
                  <c:v>12.688914125971872</c:v>
                </c:pt>
                <c:pt idx="8">
                  <c:v>18.064816250581487</c:v>
                </c:pt>
                <c:pt idx="9">
                  <c:v>14.005602240896359</c:v>
                </c:pt>
                <c:pt idx="10">
                  <c:v>14.645208024944097</c:v>
                </c:pt>
                <c:pt idx="11">
                  <c:v>12.553641196438864</c:v>
                </c:pt>
                <c:pt idx="12">
                  <c:v>16.56809220503488</c:v>
                </c:pt>
                <c:pt idx="13">
                  <c:v>15.175750009753052</c:v>
                </c:pt>
                <c:pt idx="14">
                  <c:v>24.026512013256006</c:v>
                </c:pt>
                <c:pt idx="15">
                  <c:v>17.355628781409123</c:v>
                </c:pt>
                <c:pt idx="16">
                  <c:v>17.445493681433135</c:v>
                </c:pt>
                <c:pt idx="17">
                  <c:v>21.62337926269154</c:v>
                </c:pt>
                <c:pt idx="18">
                  <c:v>22.806683184041674</c:v>
                </c:pt>
                <c:pt idx="19">
                  <c:v>14.839940640237439</c:v>
                </c:pt>
                <c:pt idx="20">
                  <c:v>20.876077144029544</c:v>
                </c:pt>
                <c:pt idx="21">
                  <c:v>23.376623376623378</c:v>
                </c:pt>
                <c:pt idx="22">
                  <c:v>18.356063398451898</c:v>
                </c:pt>
                <c:pt idx="23">
                  <c:v>31.340907186381433</c:v>
                </c:pt>
                <c:pt idx="24">
                  <c:v>19.198862289642097</c:v>
                </c:pt>
                <c:pt idx="25">
                  <c:v>19.684210526315791</c:v>
                </c:pt>
                <c:pt idx="26">
                  <c:v>18.431001890359166</c:v>
                </c:pt>
                <c:pt idx="27">
                  <c:v>21.874030406453613</c:v>
                </c:pt>
                <c:pt idx="28">
                  <c:v>19.723443027119735</c:v>
                </c:pt>
                <c:pt idx="29">
                  <c:v>28.376944837340879</c:v>
                </c:pt>
                <c:pt idx="30">
                  <c:v>24.29897688518378</c:v>
                </c:pt>
                <c:pt idx="31">
                  <c:v>24.985399328369105</c:v>
                </c:pt>
                <c:pt idx="32">
                  <c:v>27.401090451558787</c:v>
                </c:pt>
              </c:numCache>
            </c:numRef>
          </c:val>
        </c:ser>
        <c:dLbls>
          <c:showLegendKey val="0"/>
          <c:showVal val="0"/>
          <c:showCatName val="0"/>
          <c:showSerName val="0"/>
          <c:showPercent val="0"/>
          <c:showBubbleSize val="0"/>
        </c:dLbls>
        <c:gapWidth val="150"/>
        <c:overlap val="100"/>
        <c:axId val="313644928"/>
        <c:axId val="313646464"/>
      </c:barChart>
      <c:lineChart>
        <c:grouping val="standard"/>
        <c:varyColors val="0"/>
        <c:ser>
          <c:idx val="2"/>
          <c:order val="2"/>
          <c:tx>
            <c:strRef>
              <c:f>'Statistics - Older People'!$F$393</c:f>
              <c:strCache>
                <c:ptCount val="1"/>
                <c:pt idx="0">
                  <c:v>Highlight</c:v>
                </c:pt>
              </c:strCache>
            </c:strRef>
          </c:tx>
          <c:spPr>
            <a:ln w="28575">
              <a:noFill/>
            </a:ln>
          </c:spPr>
          <c:marker>
            <c:symbol val="none"/>
          </c:marker>
          <c:dLbls>
            <c:spPr>
              <a:noFill/>
              <a:ln w="25400">
                <a:noFill/>
              </a:ln>
            </c:spPr>
            <c:txPr>
              <a:bodyPr rot="-5400000" vert="horz"/>
              <a:lstStyle/>
              <a:p>
                <a:pPr algn="ctr">
                  <a:defRPr sz="800" b="1" i="0" u="none" strike="noStrike" baseline="0">
                    <a:solidFill>
                      <a:srgbClr val="FF0000"/>
                    </a:solidFill>
                    <a:latin typeface="Calibri"/>
                    <a:ea typeface="Calibri"/>
                    <a:cs typeface="Calibri"/>
                  </a:defRPr>
                </a:pPr>
                <a:endParaRPr lang="en-US"/>
              </a:p>
            </c:txPr>
            <c:dLblPos val="b"/>
            <c:showLegendKey val="0"/>
            <c:showVal val="0"/>
            <c:showCatName val="1"/>
            <c:showSerName val="0"/>
            <c:showPercent val="0"/>
            <c:showBubbleSize val="0"/>
            <c:showLeaderLines val="0"/>
          </c:dLbls>
          <c:val>
            <c:numRef>
              <c:f>'Statistics - Older People'!$F$394:$F$426</c:f>
              <c:numCache>
                <c:formatCode>0</c:formatCode>
                <c:ptCount val="33"/>
                <c:pt idx="0">
                  <c:v>#N/A</c:v>
                </c:pt>
                <c:pt idx="1">
                  <c:v>#N/A</c:v>
                </c:pt>
                <c:pt idx="2">
                  <c:v>#N/A</c:v>
                </c:pt>
                <c:pt idx="3">
                  <c:v>0</c:v>
                </c:pt>
                <c:pt idx="4">
                  <c:v>#N/A</c:v>
                </c:pt>
                <c:pt idx="5">
                  <c:v>#N/A</c:v>
                </c:pt>
                <c:pt idx="6">
                  <c:v>#N/A</c:v>
                </c:pt>
                <c:pt idx="7">
                  <c:v>#N/A</c:v>
                </c:pt>
                <c:pt idx="8">
                  <c:v>#N/A</c:v>
                </c:pt>
                <c:pt idx="9">
                  <c:v>#N/A</c:v>
                </c:pt>
                <c:pt idx="10">
                  <c:v>#N/A</c:v>
                </c:pt>
                <c:pt idx="11">
                  <c:v>#N/A</c:v>
                </c:pt>
                <c:pt idx="12">
                  <c:v>#N/A</c:v>
                </c:pt>
                <c:pt idx="13">
                  <c:v>#N/A</c:v>
                </c:pt>
                <c:pt idx="14">
                  <c:v>#N/A</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3"/>
          <c:order val="3"/>
          <c:tx>
            <c:strRef>
              <c:f>'Statistics - Older People'!$G$393</c:f>
              <c:strCache>
                <c:ptCount val="1"/>
                <c:pt idx="0">
                  <c:v>Don't</c:v>
                </c:pt>
              </c:strCache>
            </c:strRef>
          </c:tx>
          <c:spPr>
            <a:ln w="28575">
              <a:noFill/>
            </a:ln>
          </c:spPr>
          <c:marker>
            <c:symbol val="none"/>
          </c:marker>
          <c:dLbls>
            <c:spPr>
              <a:noFill/>
              <a:ln w="25400">
                <a:noFill/>
              </a:ln>
            </c:spPr>
            <c:txPr>
              <a:bodyPr rot="-5400000" vert="horz"/>
              <a:lstStyle/>
              <a:p>
                <a:pPr algn="ctr">
                  <a:defRPr sz="800" b="0" i="0" u="none" strike="noStrike" baseline="0">
                    <a:solidFill>
                      <a:srgbClr val="000000"/>
                    </a:solidFill>
                    <a:latin typeface="Calibri"/>
                    <a:ea typeface="Calibri"/>
                    <a:cs typeface="Calibri"/>
                  </a:defRPr>
                </a:pPr>
                <a:endParaRPr lang="en-US"/>
              </a:p>
            </c:txPr>
            <c:dLblPos val="b"/>
            <c:showLegendKey val="0"/>
            <c:showVal val="0"/>
            <c:showCatName val="1"/>
            <c:showSerName val="0"/>
            <c:showPercent val="0"/>
            <c:showBubbleSize val="0"/>
            <c:showLeaderLines val="0"/>
          </c:dLbls>
          <c:val>
            <c:numRef>
              <c:f>'Statistics - Older People'!$G$394:$G$426</c:f>
              <c:numCache>
                <c:formatCode>0</c:formatCode>
                <c:ptCount val="33"/>
                <c:pt idx="0">
                  <c:v>0</c:v>
                </c:pt>
                <c:pt idx="1">
                  <c:v>0</c:v>
                </c:pt>
                <c:pt idx="2">
                  <c:v>0</c:v>
                </c:pt>
                <c:pt idx="3">
                  <c:v>#N/A</c:v>
                </c:pt>
                <c:pt idx="4">
                  <c:v>0</c:v>
                </c:pt>
                <c:pt idx="5">
                  <c:v>0</c:v>
                </c:pt>
                <c:pt idx="6">
                  <c:v>0</c:v>
                </c:pt>
                <c:pt idx="7">
                  <c:v>0</c:v>
                </c:pt>
                <c:pt idx="8">
                  <c:v>0</c:v>
                </c:pt>
                <c:pt idx="9">
                  <c:v>0</c:v>
                </c:pt>
                <c:pt idx="10">
                  <c:v>0</c:v>
                </c:pt>
                <c:pt idx="11">
                  <c:v>0</c:v>
                </c:pt>
                <c:pt idx="12">
                  <c:v>0</c:v>
                </c:pt>
                <c:pt idx="13">
                  <c:v>0</c:v>
                </c:pt>
                <c:pt idx="14">
                  <c:v>0</c:v>
                </c:pt>
                <c:pt idx="15">
                  <c:v>#N/A</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13644928"/>
        <c:axId val="313646464"/>
      </c:lineChart>
      <c:catAx>
        <c:axId val="313644928"/>
        <c:scaling>
          <c:orientation val="minMax"/>
        </c:scaling>
        <c:delete val="0"/>
        <c:axPos val="b"/>
        <c:numFmt formatCode="General" sourceLinked="1"/>
        <c:majorTickMark val="out"/>
        <c:minorTickMark val="none"/>
        <c:tickLblPos val="none"/>
        <c:spPr>
          <a:ln w="3175">
            <a:solidFill>
              <a:srgbClr val="000000"/>
            </a:solidFill>
            <a:prstDash val="solid"/>
          </a:ln>
        </c:spPr>
        <c:crossAx val="313646464"/>
        <c:crosses val="autoZero"/>
        <c:auto val="0"/>
        <c:lblAlgn val="ctr"/>
        <c:lblOffset val="100"/>
        <c:tickLblSkip val="1"/>
        <c:tickMarkSkip val="1"/>
        <c:noMultiLvlLbl val="0"/>
      </c:catAx>
      <c:valAx>
        <c:axId val="313646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644928"/>
        <c:crosses val="autoZero"/>
        <c:crossBetween val="between"/>
      </c:valAx>
      <c:spPr>
        <a:noFill/>
        <a:ln w="25400">
          <a:noFill/>
        </a:ln>
      </c:spPr>
    </c:plotArea>
    <c:legend>
      <c:legendPos val="b"/>
      <c:legendEntry>
        <c:idx val="2"/>
        <c:delete val="1"/>
      </c:legendEntry>
      <c:legendEntry>
        <c:idx val="3"/>
        <c:delete val="1"/>
      </c:legendEntry>
      <c:layout>
        <c:manualLayout>
          <c:xMode val="edge"/>
          <c:yMode val="edge"/>
          <c:x val="0.13509074591334735"/>
          <c:y val="0.13114188496419987"/>
          <c:w val="0.77100556254952202"/>
          <c:h val="6.06937272705462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Movement: Older people social work expenditure (gross)</a:t>
            </a:r>
          </a:p>
        </c:rich>
      </c:tx>
      <c:layout>
        <c:manualLayout>
          <c:xMode val="edge"/>
          <c:yMode val="edge"/>
          <c:x val="0.21875"/>
          <c:y val="1.7006859211771936E-2"/>
        </c:manualLayout>
      </c:layout>
      <c:overlay val="0"/>
      <c:spPr>
        <a:noFill/>
        <a:ln w="25400">
          <a:noFill/>
        </a:ln>
      </c:spPr>
    </c:title>
    <c:autoTitleDeleted val="0"/>
    <c:plotArea>
      <c:layout>
        <c:manualLayout>
          <c:layoutTarget val="inner"/>
          <c:xMode val="edge"/>
          <c:yMode val="edge"/>
          <c:x val="9.5394736842105268E-2"/>
          <c:y val="0.1598644765906562"/>
          <c:w val="0.87335526315789469"/>
          <c:h val="0.66326750925910549"/>
        </c:manualLayout>
      </c:layout>
      <c:lineChart>
        <c:grouping val="standard"/>
        <c:varyColors val="0"/>
        <c:ser>
          <c:idx val="0"/>
          <c:order val="0"/>
          <c:tx>
            <c:strRef>
              <c:f>Cover!$M$467:$N$467</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Cover!$O$466:$X$466</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Cover!$O$467:$X$467</c:f>
              <c:numCache>
                <c:formatCode>0%</c:formatCode>
                <c:ptCount val="10"/>
                <c:pt idx="0">
                  <c:v>0</c:v>
                </c:pt>
                <c:pt idx="1">
                  <c:v>-4.7086709371153557E-3</c:v>
                </c:pt>
                <c:pt idx="2">
                  <c:v>3.6401671117778367E-3</c:v>
                </c:pt>
                <c:pt idx="3">
                  <c:v>-1.2404430354294504E-2</c:v>
                </c:pt>
                <c:pt idx="4">
                  <c:v>-1.0694868707463279E-2</c:v>
                </c:pt>
                <c:pt idx="5">
                  <c:v>1.7723923248672113E-2</c:v>
                </c:pt>
                <c:pt idx="6">
                  <c:v>1.4016317147538038E-2</c:v>
                </c:pt>
                <c:pt idx="7">
                  <c:v>8.578487801614787E-2</c:v>
                </c:pt>
                <c:pt idx="8">
                  <c:v>7.0180072870011712E-2</c:v>
                </c:pt>
                <c:pt idx="9">
                  <c:v>4.4419000840704603E-2</c:v>
                </c:pt>
              </c:numCache>
            </c:numRef>
          </c:val>
          <c:smooth val="0"/>
        </c:ser>
        <c:ser>
          <c:idx val="1"/>
          <c:order val="1"/>
          <c:tx>
            <c:strRef>
              <c:f>Cover!$M$468:$N$468</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Cover!$O$466:$X$466</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Cover!$O$468:$X$468</c:f>
              <c:numCache>
                <c:formatCode>0%</c:formatCode>
                <c:ptCount val="10"/>
                <c:pt idx="0">
                  <c:v>0</c:v>
                </c:pt>
                <c:pt idx="1">
                  <c:v>4.822141491305465E-2</c:v>
                </c:pt>
                <c:pt idx="2">
                  <c:v>9.6412296088075777E-2</c:v>
                </c:pt>
                <c:pt idx="3">
                  <c:v>0.13419112455462789</c:v>
                </c:pt>
                <c:pt idx="4">
                  <c:v>0.1458517412208955</c:v>
                </c:pt>
                <c:pt idx="5">
                  <c:v>0.12074151465138305</c:v>
                </c:pt>
                <c:pt idx="6">
                  <c:v>0.11998942010900082</c:v>
                </c:pt>
                <c:pt idx="7">
                  <c:v>0.13226007839683174</c:v>
                </c:pt>
                <c:pt idx="8">
                  <c:v>0.12815981890511341</c:v>
                </c:pt>
                <c:pt idx="9">
                  <c:v>0.14074556040464192</c:v>
                </c:pt>
              </c:numCache>
            </c:numRef>
          </c:val>
          <c:smooth val="0"/>
        </c:ser>
        <c:dLbls>
          <c:showLegendKey val="0"/>
          <c:showVal val="0"/>
          <c:showCatName val="0"/>
          <c:showSerName val="0"/>
          <c:showPercent val="0"/>
          <c:showBubbleSize val="0"/>
        </c:dLbls>
        <c:marker val="1"/>
        <c:smooth val="0"/>
        <c:axId val="290352512"/>
        <c:axId val="295777792"/>
      </c:lineChart>
      <c:catAx>
        <c:axId val="29035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95777792"/>
        <c:crosses val="autoZero"/>
        <c:auto val="1"/>
        <c:lblAlgn val="ctr"/>
        <c:lblOffset val="100"/>
        <c:tickLblSkip val="1"/>
        <c:tickMarkSkip val="1"/>
        <c:noMultiLvlLbl val="0"/>
      </c:catAx>
      <c:valAx>
        <c:axId val="2957777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8.2236842105263153E-3"/>
              <c:y val="0.306123465811894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90352512"/>
        <c:crosses val="autoZero"/>
        <c:crossBetween val="between"/>
      </c:valAx>
      <c:spPr>
        <a:noFill/>
        <a:ln w="25400">
          <a:noFill/>
        </a:ln>
      </c:spPr>
    </c:plotArea>
    <c:legend>
      <c:legendPos val="r"/>
      <c:layout>
        <c:manualLayout>
          <c:xMode val="edge"/>
          <c:yMode val="edge"/>
          <c:x val="0.11707953834712338"/>
          <c:y val="0.17832887477070503"/>
          <c:w val="0.32730263157894735"/>
          <c:h val="7.8231552374150901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Mental health - Movement in spend (gross)</a:t>
            </a:r>
          </a:p>
        </c:rich>
      </c:tx>
      <c:layout>
        <c:manualLayout>
          <c:xMode val="edge"/>
          <c:yMode val="edge"/>
          <c:x val="0.27631578947368424"/>
          <c:y val="3.8314319602788263E-2"/>
        </c:manualLayout>
      </c:layout>
      <c:overlay val="0"/>
      <c:spPr>
        <a:noFill/>
        <a:ln w="25400">
          <a:noFill/>
        </a:ln>
      </c:spPr>
    </c:title>
    <c:autoTitleDeleted val="0"/>
    <c:plotArea>
      <c:layout>
        <c:manualLayout>
          <c:layoutTarget val="inner"/>
          <c:xMode val="edge"/>
          <c:yMode val="edge"/>
          <c:x val="9.1015409411580928E-2"/>
          <c:y val="0.1932270414786863"/>
          <c:w val="0.84703947368421051"/>
          <c:h val="0.67184920761058908"/>
        </c:manualLayout>
      </c:layout>
      <c:lineChart>
        <c:grouping val="standard"/>
        <c:varyColors val="0"/>
        <c:ser>
          <c:idx val="0"/>
          <c:order val="0"/>
          <c:tx>
            <c:strRef>
              <c:f>Cover!$O$856</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Cover!$P$855:$Y$855</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Cover!$P$856:$Y$856</c:f>
              <c:numCache>
                <c:formatCode>0%</c:formatCode>
                <c:ptCount val="10"/>
                <c:pt idx="0">
                  <c:v>0</c:v>
                </c:pt>
                <c:pt idx="1">
                  <c:v>2.8640992511600016E-2</c:v>
                </c:pt>
                <c:pt idx="2">
                  <c:v>3.1240677717858212E-2</c:v>
                </c:pt>
                <c:pt idx="3">
                  <c:v>2.2635931628300909E-4</c:v>
                </c:pt>
                <c:pt idx="4">
                  <c:v>-0.10504036894207791</c:v>
                </c:pt>
                <c:pt idx="5">
                  <c:v>-5.0758688255729711E-2</c:v>
                </c:pt>
                <c:pt idx="6">
                  <c:v>-0.11904315698543311</c:v>
                </c:pt>
                <c:pt idx="7">
                  <c:v>-0.17066904831551843</c:v>
                </c:pt>
                <c:pt idx="8">
                  <c:v>-0.21396454526197195</c:v>
                </c:pt>
                <c:pt idx="9">
                  <c:v>-0.17407353698848738</c:v>
                </c:pt>
              </c:numCache>
            </c:numRef>
          </c:val>
          <c:smooth val="0"/>
        </c:ser>
        <c:ser>
          <c:idx val="1"/>
          <c:order val="1"/>
          <c:tx>
            <c:strRef>
              <c:f>Cover!$O$857</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Cover!$P$855:$Y$855</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Cover!$P$857:$Y$857</c:f>
              <c:numCache>
                <c:formatCode>0%</c:formatCode>
                <c:ptCount val="10"/>
                <c:pt idx="0">
                  <c:v>0</c:v>
                </c:pt>
                <c:pt idx="1">
                  <c:v>-0.14095755000642596</c:v>
                </c:pt>
                <c:pt idx="2">
                  <c:v>-9.1685981601671185E-2</c:v>
                </c:pt>
                <c:pt idx="3">
                  <c:v>-8.962093174353325E-2</c:v>
                </c:pt>
                <c:pt idx="4">
                  <c:v>-8.3872979675720272E-2</c:v>
                </c:pt>
                <c:pt idx="5">
                  <c:v>-8.0048350493900466E-2</c:v>
                </c:pt>
                <c:pt idx="6">
                  <c:v>-9.3866200428715074E-2</c:v>
                </c:pt>
                <c:pt idx="7">
                  <c:v>-0.10485908452274084</c:v>
                </c:pt>
                <c:pt idx="8">
                  <c:v>-0.12418954906011148</c:v>
                </c:pt>
                <c:pt idx="9">
                  <c:v>-0.11828812220354157</c:v>
                </c:pt>
              </c:numCache>
            </c:numRef>
          </c:val>
          <c:smooth val="0"/>
        </c:ser>
        <c:dLbls>
          <c:showLegendKey val="0"/>
          <c:showVal val="0"/>
          <c:showCatName val="0"/>
          <c:showSerName val="0"/>
          <c:showPercent val="0"/>
          <c:showBubbleSize val="0"/>
        </c:dLbls>
        <c:marker val="1"/>
        <c:smooth val="0"/>
        <c:axId val="313681024"/>
        <c:axId val="313682944"/>
      </c:lineChart>
      <c:catAx>
        <c:axId val="313681024"/>
        <c:scaling>
          <c:orientation val="minMax"/>
        </c:scaling>
        <c:delete val="0"/>
        <c:axPos val="t"/>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682944"/>
        <c:crosses val="max"/>
        <c:auto val="1"/>
        <c:lblAlgn val="ctr"/>
        <c:lblOffset val="100"/>
        <c:tickLblSkip val="1"/>
        <c:tickMarkSkip val="1"/>
        <c:noMultiLvlLbl val="0"/>
      </c:catAx>
      <c:valAx>
        <c:axId val="31368294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8.2236842105263153E-3"/>
              <c:y val="0.310345988782584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681024"/>
        <c:crosses val="autoZero"/>
        <c:crossBetween val="between"/>
      </c:valAx>
      <c:spPr>
        <a:noFill/>
        <a:ln w="25400">
          <a:noFill/>
        </a:ln>
      </c:spPr>
    </c:plotArea>
    <c:legend>
      <c:legendPos val="b"/>
      <c:layout/>
      <c:overlay val="0"/>
      <c:spPr>
        <a:ln>
          <a:solidFill>
            <a:srgbClr val="000080"/>
          </a:solid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Mental health services 
(per head of population aged 18-64)</a:t>
            </a:r>
          </a:p>
        </c:rich>
      </c:tx>
      <c:layout>
        <c:manualLayout>
          <c:xMode val="edge"/>
          <c:yMode val="edge"/>
          <c:x val="0.25082548671083227"/>
          <c:y val="3.5256520609602271E-2"/>
        </c:manualLayout>
      </c:layout>
      <c:overlay val="0"/>
      <c:spPr>
        <a:noFill/>
        <a:ln w="25400">
          <a:noFill/>
        </a:ln>
      </c:spPr>
    </c:title>
    <c:autoTitleDeleted val="0"/>
    <c:plotArea>
      <c:layout>
        <c:manualLayout>
          <c:layoutTarget val="inner"/>
          <c:xMode val="edge"/>
          <c:yMode val="edge"/>
          <c:x val="0.11386156962531202"/>
          <c:y val="0.19871857070866733"/>
          <c:w val="0.83828517927041313"/>
          <c:h val="0.61538654154942141"/>
        </c:manualLayout>
      </c:layout>
      <c:lineChart>
        <c:grouping val="standard"/>
        <c:varyColors val="0"/>
        <c:ser>
          <c:idx val="0"/>
          <c:order val="0"/>
          <c:tx>
            <c:strRef>
              <c:f>Cover!$N$887</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Cover!$O$886:$X$886</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Cover!$O$887:$X$887</c:f>
              <c:numCache>
                <c:formatCode>0.0</c:formatCode>
                <c:ptCount val="10"/>
                <c:pt idx="0">
                  <c:v>76.545915587045357</c:v>
                </c:pt>
                <c:pt idx="1">
                  <c:v>77.876564239222773</c:v>
                </c:pt>
                <c:pt idx="2">
                  <c:v>76.86282457617699</c:v>
                </c:pt>
                <c:pt idx="3">
                  <c:v>74.04534952916849</c:v>
                </c:pt>
                <c:pt idx="4">
                  <c:v>64.807894201103466</c:v>
                </c:pt>
                <c:pt idx="5">
                  <c:v>67.372300356778197</c:v>
                </c:pt>
                <c:pt idx="6">
                  <c:v>59.614592656133325</c:v>
                </c:pt>
                <c:pt idx="7">
                  <c:v>55.795685426992613</c:v>
                </c:pt>
                <c:pt idx="8">
                  <c:v>52.010216621545055</c:v>
                </c:pt>
                <c:pt idx="9">
                  <c:v>54.649715856661942</c:v>
                </c:pt>
              </c:numCache>
            </c:numRef>
          </c:val>
          <c:smooth val="0"/>
        </c:ser>
        <c:ser>
          <c:idx val="1"/>
          <c:order val="1"/>
          <c:tx>
            <c:strRef>
              <c:f>Cover!$N$888</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Cover!$O$886:$X$886</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Cover!$O$888:$X$888</c:f>
              <c:numCache>
                <c:formatCode>0.0</c:formatCode>
                <c:ptCount val="10"/>
                <c:pt idx="0">
                  <c:v>54.586411542006886</c:v>
                </c:pt>
                <c:pt idx="1">
                  <c:v>46.513523487309016</c:v>
                </c:pt>
                <c:pt idx="2">
                  <c:v>48.841946041276437</c:v>
                </c:pt>
                <c:pt idx="3">
                  <c:v>48.726917307872704</c:v>
                </c:pt>
                <c:pt idx="4">
                  <c:v>48.779535431634926</c:v>
                </c:pt>
                <c:pt idx="5">
                  <c:v>48.665574159637188</c:v>
                </c:pt>
                <c:pt idx="6">
                  <c:v>47.12593873021369</c:v>
                </c:pt>
                <c:pt idx="7">
                  <c:v>46.722308722347535</c:v>
                </c:pt>
                <c:pt idx="8">
                  <c:v>45.759209114452247</c:v>
                </c:pt>
                <c:pt idx="9">
                  <c:v>46.067545952992624</c:v>
                </c:pt>
              </c:numCache>
            </c:numRef>
          </c:val>
          <c:smooth val="0"/>
        </c:ser>
        <c:ser>
          <c:idx val="2"/>
          <c:order val="2"/>
          <c:tx>
            <c:strRef>
              <c:f>Cover!$N$889</c:f>
              <c:strCache>
                <c:ptCount val="1"/>
                <c:pt idx="0">
                  <c:v>Min</c:v>
                </c:pt>
              </c:strCache>
            </c:strRef>
          </c:tx>
          <c:spPr>
            <a:ln w="25400">
              <a:solidFill>
                <a:srgbClr val="000000"/>
              </a:solidFill>
              <a:prstDash val="sysDash"/>
            </a:ln>
          </c:spPr>
          <c:marker>
            <c:symbol val="none"/>
          </c:marker>
          <c:cat>
            <c:strRef>
              <c:f>Cover!$O$886:$X$886</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Cover!$O$889:$X$889</c:f>
              <c:numCache>
                <c:formatCode>0.0</c:formatCode>
                <c:ptCount val="10"/>
                <c:pt idx="0">
                  <c:v>15.793776601525972</c:v>
                </c:pt>
                <c:pt idx="1">
                  <c:v>18.507233087862119</c:v>
                </c:pt>
                <c:pt idx="2">
                  <c:v>20.815739363998045</c:v>
                </c:pt>
                <c:pt idx="3">
                  <c:v>28.658018137814704</c:v>
                </c:pt>
                <c:pt idx="4">
                  <c:v>26.907737647763867</c:v>
                </c:pt>
                <c:pt idx="5">
                  <c:v>28.80826363484644</c:v>
                </c:pt>
                <c:pt idx="6">
                  <c:v>25.139246506775621</c:v>
                </c:pt>
                <c:pt idx="7">
                  <c:v>29.192617060440256</c:v>
                </c:pt>
                <c:pt idx="8">
                  <c:v>27.203359599791494</c:v>
                </c:pt>
                <c:pt idx="9">
                  <c:v>30.578607061588858</c:v>
                </c:pt>
              </c:numCache>
            </c:numRef>
          </c:val>
          <c:smooth val="0"/>
        </c:ser>
        <c:ser>
          <c:idx val="3"/>
          <c:order val="3"/>
          <c:tx>
            <c:strRef>
              <c:f>Cover!$N$890</c:f>
              <c:strCache>
                <c:ptCount val="1"/>
                <c:pt idx="0">
                  <c:v>Max</c:v>
                </c:pt>
              </c:strCache>
            </c:strRef>
          </c:tx>
          <c:spPr>
            <a:ln w="25400">
              <a:solidFill>
                <a:srgbClr val="000000"/>
              </a:solidFill>
              <a:prstDash val="sysDash"/>
            </a:ln>
          </c:spPr>
          <c:marker>
            <c:symbol val="none"/>
          </c:marker>
          <c:cat>
            <c:strRef>
              <c:f>Cover!$O$886:$X$886</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Cover!$O$890:$X$890</c:f>
              <c:numCache>
                <c:formatCode>0.0</c:formatCode>
                <c:ptCount val="10"/>
                <c:pt idx="0">
                  <c:v>143.38356897061681</c:v>
                </c:pt>
                <c:pt idx="1">
                  <c:v>101.99885278903001</c:v>
                </c:pt>
                <c:pt idx="2">
                  <c:v>92.48927433522816</c:v>
                </c:pt>
                <c:pt idx="3">
                  <c:v>105.91489377304443</c:v>
                </c:pt>
                <c:pt idx="4">
                  <c:v>100.4991441428156</c:v>
                </c:pt>
                <c:pt idx="5">
                  <c:v>126.1965635864923</c:v>
                </c:pt>
                <c:pt idx="6">
                  <c:v>133.69789806621699</c:v>
                </c:pt>
                <c:pt idx="7">
                  <c:v>140.87776058517375</c:v>
                </c:pt>
                <c:pt idx="8">
                  <c:v>111.37703197469646</c:v>
                </c:pt>
                <c:pt idx="9">
                  <c:v>102.21620521172639</c:v>
                </c:pt>
              </c:numCache>
            </c:numRef>
          </c:val>
          <c:smooth val="0"/>
        </c:ser>
        <c:dLbls>
          <c:showLegendKey val="0"/>
          <c:showVal val="0"/>
          <c:showCatName val="0"/>
          <c:showSerName val="0"/>
          <c:showPercent val="0"/>
          <c:showBubbleSize val="0"/>
        </c:dLbls>
        <c:marker val="1"/>
        <c:smooth val="0"/>
        <c:axId val="313710464"/>
        <c:axId val="313712000"/>
      </c:lineChart>
      <c:catAx>
        <c:axId val="31371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712000"/>
        <c:crosses val="autoZero"/>
        <c:auto val="1"/>
        <c:lblAlgn val="ctr"/>
        <c:lblOffset val="100"/>
        <c:tickLblSkip val="1"/>
        <c:tickMarkSkip val="1"/>
        <c:noMultiLvlLbl val="0"/>
      </c:catAx>
      <c:valAx>
        <c:axId val="3137120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18-64 (£)</a:t>
                </a:r>
              </a:p>
            </c:rich>
          </c:tx>
          <c:layout>
            <c:manualLayout>
              <c:xMode val="edge"/>
              <c:yMode val="edge"/>
              <c:x val="8.2508383786457987E-3"/>
              <c:y val="0.141026082438409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710464"/>
        <c:crosses val="autoZero"/>
        <c:crossBetween val="between"/>
      </c:valAx>
      <c:spPr>
        <a:noFill/>
        <a:ln w="25400">
          <a:noFill/>
        </a:ln>
      </c:spPr>
    </c:plotArea>
    <c:legend>
      <c:legendPos val="r"/>
      <c:layout>
        <c:manualLayout>
          <c:xMode val="edge"/>
          <c:yMode val="edge"/>
          <c:x val="0.18811911503312423"/>
          <c:y val="0.90384898290071269"/>
          <c:w val="0.71122226823926782"/>
          <c:h val="8.01284559309142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Mental health services, 2014/15
(per head of population aged 18-64)</a:t>
            </a:r>
          </a:p>
        </c:rich>
      </c:tx>
      <c:layout>
        <c:manualLayout>
          <c:xMode val="edge"/>
          <c:yMode val="edge"/>
          <c:x val="0.22167523231480962"/>
          <c:y val="2.2012646216115789E-2"/>
        </c:manualLayout>
      </c:layout>
      <c:overlay val="0"/>
      <c:spPr>
        <a:noFill/>
        <a:ln w="25400">
          <a:noFill/>
        </a:ln>
      </c:spPr>
    </c:title>
    <c:autoTitleDeleted val="0"/>
    <c:plotArea>
      <c:layout>
        <c:manualLayout>
          <c:layoutTarget val="inner"/>
          <c:xMode val="edge"/>
          <c:yMode val="edge"/>
          <c:x val="0.11001659677846107"/>
          <c:y val="0.21698179841599849"/>
          <c:w val="0.85878627037515132"/>
          <c:h val="0.47169956177390976"/>
        </c:manualLayout>
      </c:layout>
      <c:barChart>
        <c:barDir val="col"/>
        <c:grouping val="clustered"/>
        <c:varyColors val="0"/>
        <c:ser>
          <c:idx val="1"/>
          <c:order val="0"/>
          <c:tx>
            <c:strRef>
              <c:f>'Per Capita Data - MH'!$E$2</c:f>
              <c:strCache>
                <c:ptCount val="1"/>
                <c:pt idx="0">
                  <c:v>Average Spend per Capita</c:v>
                </c:pt>
              </c:strCache>
            </c:strRef>
          </c:tx>
          <c:spPr>
            <a:solidFill>
              <a:srgbClr val="0000FF"/>
            </a:solidFill>
            <a:ln w="12700">
              <a:solidFill>
                <a:srgbClr val="000000"/>
              </a:solidFill>
              <a:prstDash val="solid"/>
            </a:ln>
          </c:spPr>
          <c:invertIfNegative val="0"/>
          <c:cat>
            <c:strRef>
              <c:f>'Per Capita Data - MH'!$B$3:$B$34</c:f>
              <c:strCache>
                <c:ptCount val="32"/>
                <c:pt idx="0">
                  <c:v>Shetland Islands</c:v>
                </c:pt>
                <c:pt idx="1">
                  <c:v>Clackmannanshire</c:v>
                </c:pt>
                <c:pt idx="2">
                  <c:v>North Lanarkshire</c:v>
                </c:pt>
                <c:pt idx="3">
                  <c:v>Falkirk</c:v>
                </c:pt>
                <c:pt idx="4">
                  <c:v>Dumfries &amp; Galloway</c:v>
                </c:pt>
                <c:pt idx="5">
                  <c:v>Aberdeen City</c:v>
                </c:pt>
                <c:pt idx="6">
                  <c:v>Inverclyde</c:v>
                </c:pt>
                <c:pt idx="7">
                  <c:v>South Ayrshire</c:v>
                </c:pt>
                <c:pt idx="8">
                  <c:v>Argyll &amp; Bute</c:v>
                </c:pt>
                <c:pt idx="9">
                  <c:v>Glasgow City</c:v>
                </c:pt>
                <c:pt idx="10">
                  <c:v>East Dunbartonshire</c:v>
                </c:pt>
                <c:pt idx="11">
                  <c:v>West Dunbartonshire</c:v>
                </c:pt>
                <c:pt idx="12">
                  <c:v>Dundee City</c:v>
                </c:pt>
                <c:pt idx="13">
                  <c:v>Perth &amp; Kinross</c:v>
                </c:pt>
                <c:pt idx="14">
                  <c:v>Highland</c:v>
                </c:pt>
                <c:pt idx="15">
                  <c:v>Edinburgh</c:v>
                </c:pt>
                <c:pt idx="16">
                  <c:v>East Renfrewshire</c:v>
                </c:pt>
                <c:pt idx="17">
                  <c:v>Fife</c:v>
                </c:pt>
                <c:pt idx="18">
                  <c:v>Stirling</c:v>
                </c:pt>
                <c:pt idx="19">
                  <c:v>Renfrewshire</c:v>
                </c:pt>
                <c:pt idx="20">
                  <c:v>East Ayrshire</c:v>
                </c:pt>
                <c:pt idx="21">
                  <c:v>Scottish Borders</c:v>
                </c:pt>
                <c:pt idx="22">
                  <c:v>Eilean Siar</c:v>
                </c:pt>
                <c:pt idx="23">
                  <c:v>Moray</c:v>
                </c:pt>
                <c:pt idx="24">
                  <c:v>Orkney Islands</c:v>
                </c:pt>
                <c:pt idx="25">
                  <c:v>North Ayrshire</c:v>
                </c:pt>
                <c:pt idx="26">
                  <c:v>West Lothian</c:v>
                </c:pt>
                <c:pt idx="27">
                  <c:v>South Lanarkshire</c:v>
                </c:pt>
                <c:pt idx="28">
                  <c:v>East Lothian</c:v>
                </c:pt>
                <c:pt idx="29">
                  <c:v>Midlothian</c:v>
                </c:pt>
                <c:pt idx="30">
                  <c:v>Angus</c:v>
                </c:pt>
                <c:pt idx="31">
                  <c:v>Aberdeenshire</c:v>
                </c:pt>
              </c:strCache>
            </c:strRef>
          </c:cat>
          <c:val>
            <c:numRef>
              <c:f>'Per Capita Data - MH'!$C$3:$C$34</c:f>
              <c:numCache>
                <c:formatCode>#,##0</c:formatCode>
                <c:ptCount val="32"/>
                <c:pt idx="0">
                  <c:v>105.86319218241043</c:v>
                </c:pt>
                <c:pt idx="1">
                  <c:v>66.102607979212223</c:v>
                </c:pt>
                <c:pt idx="2">
                  <c:v>59.01633132507294</c:v>
                </c:pt>
                <c:pt idx="3">
                  <c:v>58.342710997442452</c:v>
                </c:pt>
                <c:pt idx="4">
                  <c:v>57.715338553661908</c:v>
                </c:pt>
                <c:pt idx="5">
                  <c:v>56.599571080381061</c:v>
                </c:pt>
                <c:pt idx="6">
                  <c:v>55.400817289121107</c:v>
                </c:pt>
                <c:pt idx="7">
                  <c:v>54.696300806819913</c:v>
                </c:pt>
                <c:pt idx="8">
                  <c:v>53.767452820925712</c:v>
                </c:pt>
                <c:pt idx="9">
                  <c:v>53.574720243025432</c:v>
                </c:pt>
                <c:pt idx="10">
                  <c:v>50.650977655846113</c:v>
                </c:pt>
                <c:pt idx="11">
                  <c:v>50.528225376160492</c:v>
                </c:pt>
                <c:pt idx="12">
                  <c:v>49.635419398835438</c:v>
                </c:pt>
                <c:pt idx="13">
                  <c:v>48.897454792812198</c:v>
                </c:pt>
                <c:pt idx="14">
                  <c:v>48.301946261129935</c:v>
                </c:pt>
                <c:pt idx="15">
                  <c:v>47.463924186948091</c:v>
                </c:pt>
                <c:pt idx="16">
                  <c:v>47.351643871159048</c:v>
                </c:pt>
                <c:pt idx="17">
                  <c:v>47.096329947059665</c:v>
                </c:pt>
                <c:pt idx="18">
                  <c:v>46.639256030634037</c:v>
                </c:pt>
                <c:pt idx="19">
                  <c:v>45.06582285487606</c:v>
                </c:pt>
                <c:pt idx="20">
                  <c:v>45.007013559548462</c:v>
                </c:pt>
                <c:pt idx="21">
                  <c:v>43.245207595166718</c:v>
                </c:pt>
                <c:pt idx="22">
                  <c:v>42.551842222081298</c:v>
                </c:pt>
                <c:pt idx="23">
                  <c:v>39.433539671622313</c:v>
                </c:pt>
                <c:pt idx="24">
                  <c:v>38.252215829575491</c:v>
                </c:pt>
                <c:pt idx="25">
                  <c:v>38.108723757926491</c:v>
                </c:pt>
                <c:pt idx="26">
                  <c:v>38.047756494358438</c:v>
                </c:pt>
                <c:pt idx="27">
                  <c:v>34.825387247055694</c:v>
                </c:pt>
                <c:pt idx="28">
                  <c:v>34.663402692778455</c:v>
                </c:pt>
                <c:pt idx="29">
                  <c:v>33.173629743196628</c:v>
                </c:pt>
                <c:pt idx="30">
                  <c:v>31.802790589059494</c:v>
                </c:pt>
                <c:pt idx="31">
                  <c:v>31.669625665774795</c:v>
                </c:pt>
              </c:numCache>
            </c:numRef>
          </c:val>
        </c:ser>
        <c:ser>
          <c:idx val="2"/>
          <c:order val="2"/>
          <c:spPr>
            <a:solidFill>
              <a:srgbClr val="FFFF00"/>
            </a:solidFill>
            <a:ln w="12700">
              <a:solidFill>
                <a:srgbClr val="000000"/>
              </a:solidFill>
              <a:prstDash val="solid"/>
            </a:ln>
          </c:spPr>
          <c:invertIfNegative val="0"/>
          <c:val>
            <c:numRef>
              <c:f>'Per Capita Data - MH'!$D$3:$D$34</c:f>
              <c:numCache>
                <c:formatCode>#,##0</c:formatCode>
                <c:ptCount val="32"/>
                <c:pt idx="0">
                  <c:v>0</c:v>
                </c:pt>
                <c:pt idx="1">
                  <c:v>0</c:v>
                </c:pt>
                <c:pt idx="2">
                  <c:v>0</c:v>
                </c:pt>
                <c:pt idx="3">
                  <c:v>0</c:v>
                </c:pt>
                <c:pt idx="4">
                  <c:v>0</c:v>
                </c:pt>
                <c:pt idx="5">
                  <c:v>56.599571080381061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192559360"/>
        <c:axId val="192569344"/>
      </c:barChart>
      <c:lineChart>
        <c:grouping val="standard"/>
        <c:varyColors val="0"/>
        <c:ser>
          <c:idx val="0"/>
          <c:order val="1"/>
          <c:spPr>
            <a:ln w="25400">
              <a:solidFill>
                <a:srgbClr val="FF0000"/>
              </a:solidFill>
              <a:prstDash val="solid"/>
            </a:ln>
          </c:spPr>
          <c:marker>
            <c:symbol val="none"/>
          </c:marker>
          <c:val>
            <c:numRef>
              <c:f>'Per Capita Data - MH'!$E$3:$E$34</c:f>
              <c:numCache>
                <c:formatCode>#,##0</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ser>
        <c:dLbls>
          <c:showLegendKey val="0"/>
          <c:showVal val="0"/>
          <c:showCatName val="0"/>
          <c:showSerName val="0"/>
          <c:showPercent val="0"/>
          <c:showBubbleSize val="0"/>
        </c:dLbls>
        <c:marker val="1"/>
        <c:smooth val="0"/>
        <c:axId val="192559360"/>
        <c:axId val="192569344"/>
      </c:lineChart>
      <c:catAx>
        <c:axId val="192559360"/>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192569344"/>
        <c:crosses val="autoZero"/>
        <c:auto val="0"/>
        <c:lblAlgn val="ctr"/>
        <c:lblOffset val="100"/>
        <c:tickLblSkip val="1"/>
        <c:tickMarkSkip val="1"/>
        <c:noMultiLvlLbl val="0"/>
      </c:catAx>
      <c:valAx>
        <c:axId val="19256934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18-64 (£)</a:t>
                </a:r>
              </a:p>
            </c:rich>
          </c:tx>
          <c:layout>
            <c:manualLayout>
              <c:xMode val="edge"/>
              <c:yMode val="edge"/>
              <c:x val="8.2101937894373932E-3"/>
              <c:y val="9.4339912354781952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9255936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Addiction Services - Movement in spend (gross)</a:t>
            </a:r>
          </a:p>
        </c:rich>
      </c:tx>
      <c:layout>
        <c:manualLayout>
          <c:xMode val="edge"/>
          <c:yMode val="edge"/>
          <c:x val="0.25331146305834079"/>
          <c:y val="3.717472118959108E-2"/>
        </c:manualLayout>
      </c:layout>
      <c:overlay val="0"/>
      <c:spPr>
        <a:noFill/>
        <a:ln w="25400">
          <a:noFill/>
        </a:ln>
      </c:spPr>
    </c:title>
    <c:autoTitleDeleted val="0"/>
    <c:plotArea>
      <c:layout>
        <c:manualLayout>
          <c:layoutTarget val="inner"/>
          <c:xMode val="edge"/>
          <c:yMode val="edge"/>
          <c:x val="0.11799297651656854"/>
          <c:y val="5.8670138899713647E-2"/>
          <c:w val="0.83609339114027503"/>
          <c:h val="0.72490706319702602"/>
        </c:manualLayout>
      </c:layout>
      <c:lineChart>
        <c:grouping val="standard"/>
        <c:varyColors val="0"/>
        <c:ser>
          <c:idx val="0"/>
          <c:order val="0"/>
          <c:tx>
            <c:strRef>
              <c:f>Cover!$N$932</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Cover!$O$931:$X$931</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Cover!$O$932:$X$932</c:f>
              <c:numCache>
                <c:formatCode>0%</c:formatCode>
                <c:ptCount val="10"/>
                <c:pt idx="0">
                  <c:v>0</c:v>
                </c:pt>
                <c:pt idx="1">
                  <c:v>5.5988188572579922E-3</c:v>
                </c:pt>
                <c:pt idx="2">
                  <c:v>-5.9719881011518039E-2</c:v>
                </c:pt>
                <c:pt idx="3">
                  <c:v>-0.23757189591130512</c:v>
                </c:pt>
                <c:pt idx="4">
                  <c:v>-0.33035480978431908</c:v>
                </c:pt>
                <c:pt idx="5">
                  <c:v>-0.36120958495227551</c:v>
                </c:pt>
                <c:pt idx="6">
                  <c:v>-0.35265445734517165</c:v>
                </c:pt>
                <c:pt idx="7">
                  <c:v>-0.34068270374929499</c:v>
                </c:pt>
                <c:pt idx="8">
                  <c:v>-0.27140234615117753</c:v>
                </c:pt>
                <c:pt idx="9">
                  <c:v>-0.27951107630789751</c:v>
                </c:pt>
              </c:numCache>
            </c:numRef>
          </c:val>
          <c:smooth val="0"/>
        </c:ser>
        <c:ser>
          <c:idx val="1"/>
          <c:order val="1"/>
          <c:tx>
            <c:strRef>
              <c:f>Cover!$N$933</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Cover!$O$931:$X$931</c:f>
              <c:strCache>
                <c:ptCount val="10"/>
                <c:pt idx="0">
                  <c:v>2005/06 (base)</c:v>
                </c:pt>
                <c:pt idx="1">
                  <c:v>2006/07</c:v>
                </c:pt>
                <c:pt idx="2">
                  <c:v>2007/08</c:v>
                </c:pt>
                <c:pt idx="3">
                  <c:v>2008/09</c:v>
                </c:pt>
                <c:pt idx="4">
                  <c:v>2009/10</c:v>
                </c:pt>
                <c:pt idx="5">
                  <c:v>2010/11</c:v>
                </c:pt>
                <c:pt idx="6">
                  <c:v>2011/12</c:v>
                </c:pt>
                <c:pt idx="7">
                  <c:v>2012/13</c:v>
                </c:pt>
                <c:pt idx="8">
                  <c:v>2013/14</c:v>
                </c:pt>
                <c:pt idx="9">
                  <c:v>2014/15</c:v>
                </c:pt>
              </c:strCache>
            </c:strRef>
          </c:cat>
          <c:val>
            <c:numRef>
              <c:f>Cover!$O$933:$X$933</c:f>
              <c:numCache>
                <c:formatCode>0%</c:formatCode>
                <c:ptCount val="10"/>
                <c:pt idx="0">
                  <c:v>0</c:v>
                </c:pt>
                <c:pt idx="1">
                  <c:v>0.10277068515357279</c:v>
                </c:pt>
                <c:pt idx="2">
                  <c:v>0.20178866192537437</c:v>
                </c:pt>
                <c:pt idx="3">
                  <c:v>0.25676232854006664</c:v>
                </c:pt>
                <c:pt idx="4">
                  <c:v>0.28789763557576942</c:v>
                </c:pt>
                <c:pt idx="5">
                  <c:v>0.39271484331465789</c:v>
                </c:pt>
                <c:pt idx="6">
                  <c:v>0.38401742894955393</c:v>
                </c:pt>
                <c:pt idx="7">
                  <c:v>0.42777540502321898</c:v>
                </c:pt>
                <c:pt idx="8">
                  <c:v>0.53330767593763073</c:v>
                </c:pt>
                <c:pt idx="9">
                  <c:v>0.5569514619694893</c:v>
                </c:pt>
              </c:numCache>
            </c:numRef>
          </c:val>
          <c:smooth val="0"/>
        </c:ser>
        <c:dLbls>
          <c:showLegendKey val="0"/>
          <c:showVal val="0"/>
          <c:showCatName val="0"/>
          <c:showSerName val="0"/>
          <c:showPercent val="0"/>
          <c:showBubbleSize val="0"/>
        </c:dLbls>
        <c:marker val="1"/>
        <c:smooth val="0"/>
        <c:axId val="192598016"/>
        <c:axId val="192599936"/>
      </c:lineChart>
      <c:catAx>
        <c:axId val="19259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92599936"/>
        <c:crosses val="autoZero"/>
        <c:auto val="1"/>
        <c:lblAlgn val="ctr"/>
        <c:lblOffset val="100"/>
        <c:tickLblSkip val="1"/>
        <c:tickMarkSkip val="1"/>
        <c:noMultiLvlLbl val="0"/>
      </c:catAx>
      <c:valAx>
        <c:axId val="1925999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8.2781523875274758E-3"/>
              <c:y val="0.319702602230483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92598016"/>
        <c:crosses val="autoZero"/>
        <c:crossBetween val="between"/>
      </c:valAx>
      <c:spPr>
        <a:noFill/>
        <a:ln w="25400">
          <a:noFill/>
        </a:ln>
      </c:spPr>
    </c:plotArea>
    <c:legend>
      <c:legendPos val="r"/>
      <c:layout>
        <c:manualLayout>
          <c:xMode val="edge"/>
          <c:yMode val="edge"/>
          <c:x val="0.35927181361869248"/>
          <c:y val="0.8996282527881041"/>
          <c:w val="0.33112609550109906"/>
          <c:h val="8.921933085501858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Addiction services 
(per head of population aged 18-64)</a:t>
            </a:r>
          </a:p>
        </c:rich>
      </c:tx>
      <c:layout>
        <c:manualLayout>
          <c:xMode val="edge"/>
          <c:yMode val="edge"/>
          <c:x val="0.27317902878840672"/>
          <c:y val="3.5483926858503746E-2"/>
        </c:manualLayout>
      </c:layout>
      <c:overlay val="0"/>
      <c:spPr>
        <a:noFill/>
        <a:ln w="25400">
          <a:noFill/>
        </a:ln>
      </c:spPr>
    </c:title>
    <c:autoTitleDeleted val="0"/>
    <c:plotArea>
      <c:layout>
        <c:manualLayout>
          <c:layoutTarget val="inner"/>
          <c:xMode val="edge"/>
          <c:yMode val="edge"/>
          <c:x val="0.11423850294787917"/>
          <c:y val="0.18709706889029248"/>
          <c:w val="0.85430532639283552"/>
          <c:h val="0.62903324885529366"/>
        </c:manualLayout>
      </c:layout>
      <c:lineChart>
        <c:grouping val="standard"/>
        <c:varyColors val="0"/>
        <c:ser>
          <c:idx val="0"/>
          <c:order val="0"/>
          <c:tx>
            <c:strRef>
              <c:f>Cover!$N$960</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Cover!$O$959:$X$959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Cover!$O$960:$X$960</c:f>
              <c:numCache>
                <c:formatCode>0.0</c:formatCode>
                <c:ptCount val="10"/>
                <c:pt idx="0">
                  <c:v>26.184234888490035</c:v>
                </c:pt>
                <c:pt idx="1">
                  <c:v>26.042674103031441</c:v>
                </c:pt>
                <c:pt idx="2">
                  <c:v>23.9734989387909</c:v>
                </c:pt>
                <c:pt idx="3">
                  <c:v>19.307064822713571</c:v>
                </c:pt>
                <c:pt idx="4">
                  <c:v>16.587734825282435</c:v>
                </c:pt>
                <c:pt idx="5">
                  <c:v>15.508900239296068</c:v>
                </c:pt>
                <c:pt idx="6">
                  <c:v>14.984835352475537</c:v>
                </c:pt>
                <c:pt idx="7">
                  <c:v>15.173475858320501</c:v>
                </c:pt>
                <c:pt idx="8">
                  <c:v>16.491196306843406</c:v>
                </c:pt>
                <c:pt idx="9">
                  <c:v>16.307662006249245</c:v>
                </c:pt>
              </c:numCache>
            </c:numRef>
          </c:val>
          <c:smooth val="0"/>
        </c:ser>
        <c:ser>
          <c:idx val="1"/>
          <c:order val="1"/>
          <c:tx>
            <c:strRef>
              <c:f>Cover!$N$961</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Cover!$O$959:$X$959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Cover!$O$961:$X$961</c:f>
              <c:numCache>
                <c:formatCode>0.0</c:formatCode>
                <c:ptCount val="10"/>
                <c:pt idx="0">
                  <c:v>13.802767064195264</c:v>
                </c:pt>
                <c:pt idx="1">
                  <c:v>15.098417861587466</c:v>
                </c:pt>
                <c:pt idx="2">
                  <c:v>16.340549570013444</c:v>
                </c:pt>
                <c:pt idx="3">
                  <c:v>17.009104173402733</c:v>
                </c:pt>
                <c:pt idx="4">
                  <c:v>17.339833661116355</c:v>
                </c:pt>
                <c:pt idx="5">
                  <c:v>18.629477186341571</c:v>
                </c:pt>
                <c:pt idx="6">
                  <c:v>18.20081590641713</c:v>
                </c:pt>
                <c:pt idx="7">
                  <c:v>18.844056446183405</c:v>
                </c:pt>
                <c:pt idx="8">
                  <c:v>20.257195056845955</c:v>
                </c:pt>
                <c:pt idx="9">
                  <c:v>20.569563404729426</c:v>
                </c:pt>
              </c:numCache>
            </c:numRef>
          </c:val>
          <c:smooth val="0"/>
        </c:ser>
        <c:ser>
          <c:idx val="2"/>
          <c:order val="2"/>
          <c:tx>
            <c:strRef>
              <c:f>Cover!$N$962</c:f>
              <c:strCache>
                <c:ptCount val="1"/>
                <c:pt idx="0">
                  <c:v>Min</c:v>
                </c:pt>
              </c:strCache>
            </c:strRef>
          </c:tx>
          <c:spPr>
            <a:ln w="25400">
              <a:solidFill>
                <a:srgbClr val="000000"/>
              </a:solidFill>
              <a:prstDash val="sysDash"/>
            </a:ln>
          </c:spPr>
          <c:marker>
            <c:symbol val="none"/>
          </c:marker>
          <c:cat>
            <c:strRef>
              <c:f>Cover!$O$959:$X$959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Cover!$O$962:$X$962</c:f>
              <c:numCache>
                <c:formatCode>#,##0.0</c:formatCode>
                <c:ptCount val="10"/>
                <c:pt idx="0">
                  <c:v>2.2291587147342078</c:v>
                </c:pt>
                <c:pt idx="1">
                  <c:v>2.971798245259655</c:v>
                </c:pt>
                <c:pt idx="2">
                  <c:v>1.5831234909194931</c:v>
                </c:pt>
                <c:pt idx="3">
                  <c:v>2.2487752815719375</c:v>
                </c:pt>
                <c:pt idx="4">
                  <c:v>3.0033897960066409</c:v>
                </c:pt>
                <c:pt idx="5">
                  <c:v>3.3931410626913108</c:v>
                </c:pt>
                <c:pt idx="6">
                  <c:v>3.8427143640030139</c:v>
                </c:pt>
                <c:pt idx="7">
                  <c:v>3.5510267098965569</c:v>
                </c:pt>
                <c:pt idx="8">
                  <c:v>3.4683484331109016</c:v>
                </c:pt>
                <c:pt idx="9">
                  <c:v>3.2355487102717642</c:v>
                </c:pt>
              </c:numCache>
            </c:numRef>
          </c:val>
          <c:smooth val="0"/>
        </c:ser>
        <c:ser>
          <c:idx val="3"/>
          <c:order val="3"/>
          <c:tx>
            <c:strRef>
              <c:f>Cover!$N$963</c:f>
              <c:strCache>
                <c:ptCount val="1"/>
                <c:pt idx="0">
                  <c:v>Max</c:v>
                </c:pt>
              </c:strCache>
            </c:strRef>
          </c:tx>
          <c:spPr>
            <a:ln w="25400">
              <a:solidFill>
                <a:srgbClr val="000000"/>
              </a:solidFill>
              <a:prstDash val="sysDash"/>
            </a:ln>
          </c:spPr>
          <c:marker>
            <c:symbol val="none"/>
          </c:marker>
          <c:cat>
            <c:strRef>
              <c:f>Cover!$O$959:$X$959</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Cover!$O$963:$X$963</c:f>
              <c:numCache>
                <c:formatCode>#,##0.0</c:formatCode>
                <c:ptCount val="10"/>
                <c:pt idx="0">
                  <c:v>36.971749488087184</c:v>
                </c:pt>
                <c:pt idx="1">
                  <c:v>41.993846855088705</c:v>
                </c:pt>
                <c:pt idx="2">
                  <c:v>49.943851350053833</c:v>
                </c:pt>
                <c:pt idx="3">
                  <c:v>55.056314302410712</c:v>
                </c:pt>
                <c:pt idx="4">
                  <c:v>54.418320632050381</c:v>
                </c:pt>
                <c:pt idx="5">
                  <c:v>61.690354273920043</c:v>
                </c:pt>
                <c:pt idx="6">
                  <c:v>59.279820069655962</c:v>
                </c:pt>
                <c:pt idx="7">
                  <c:v>60.089241447694597</c:v>
                </c:pt>
                <c:pt idx="8">
                  <c:v>63.688789802457165</c:v>
                </c:pt>
                <c:pt idx="9">
                  <c:v>59.849856588451871</c:v>
                </c:pt>
              </c:numCache>
            </c:numRef>
          </c:val>
          <c:smooth val="0"/>
        </c:ser>
        <c:dLbls>
          <c:showLegendKey val="0"/>
          <c:showVal val="0"/>
          <c:showCatName val="0"/>
          <c:showSerName val="0"/>
          <c:showPercent val="0"/>
          <c:showBubbleSize val="0"/>
        </c:dLbls>
        <c:marker val="1"/>
        <c:smooth val="0"/>
        <c:axId val="192615168"/>
        <c:axId val="192616704"/>
      </c:lineChart>
      <c:catAx>
        <c:axId val="192615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92616704"/>
        <c:crosses val="autoZero"/>
        <c:auto val="1"/>
        <c:lblAlgn val="ctr"/>
        <c:lblOffset val="100"/>
        <c:tickLblSkip val="1"/>
        <c:tickMarkSkip val="1"/>
        <c:noMultiLvlLbl val="0"/>
      </c:catAx>
      <c:valAx>
        <c:axId val="1926167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18-64 (£)</a:t>
                </a:r>
              </a:p>
            </c:rich>
          </c:tx>
          <c:layout>
            <c:manualLayout>
              <c:xMode val="edge"/>
              <c:yMode val="edge"/>
              <c:x val="8.2781523875274758E-3"/>
              <c:y val="0.132258272836241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92615168"/>
        <c:crosses val="autoZero"/>
        <c:crossBetween val="between"/>
      </c:valAx>
      <c:spPr>
        <a:noFill/>
        <a:ln w="25400">
          <a:noFill/>
        </a:ln>
      </c:spPr>
    </c:plotArea>
    <c:legend>
      <c:legendPos val="r"/>
      <c:layout>
        <c:manualLayout>
          <c:xMode val="edge"/>
          <c:yMode val="edge"/>
          <c:x val="0.1721855696605715"/>
          <c:y val="0.90967885219073241"/>
          <c:w val="0.72351051866990135"/>
          <c:h val="8.064528831478123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Addiction services, 2014/15
(per head of population aged 18-64)</a:t>
            </a:r>
          </a:p>
        </c:rich>
      </c:tx>
      <c:layout>
        <c:manualLayout>
          <c:xMode val="edge"/>
          <c:yMode val="edge"/>
          <c:x val="0.24086378737541528"/>
          <c:y val="2.0348837209302327E-2"/>
        </c:manualLayout>
      </c:layout>
      <c:overlay val="0"/>
      <c:spPr>
        <a:noFill/>
        <a:ln w="25400">
          <a:noFill/>
        </a:ln>
      </c:spPr>
    </c:title>
    <c:autoTitleDeleted val="0"/>
    <c:plotArea>
      <c:layout>
        <c:manualLayout>
          <c:layoutTarget val="inner"/>
          <c:xMode val="edge"/>
          <c:yMode val="edge"/>
          <c:x val="0.11627906976744186"/>
          <c:y val="0.16860465116279069"/>
          <c:w val="0.84883720930232553"/>
          <c:h val="0.52034883720930236"/>
        </c:manualLayout>
      </c:layout>
      <c:barChart>
        <c:barDir val="col"/>
        <c:grouping val="clustered"/>
        <c:varyColors val="0"/>
        <c:ser>
          <c:idx val="1"/>
          <c:order val="0"/>
          <c:tx>
            <c:strRef>
              <c:f>'Per Capita Data - Other needs'!$E$2</c:f>
              <c:strCache>
                <c:ptCount val="1"/>
                <c:pt idx="0">
                  <c:v>Average Spend per Capita</c:v>
                </c:pt>
              </c:strCache>
            </c:strRef>
          </c:tx>
          <c:spPr>
            <a:solidFill>
              <a:srgbClr val="0000FF"/>
            </a:solidFill>
            <a:ln w="12700">
              <a:solidFill>
                <a:srgbClr val="000000"/>
              </a:solidFill>
              <a:prstDash val="solid"/>
            </a:ln>
          </c:spPr>
          <c:invertIfNegative val="0"/>
          <c:cat>
            <c:strRef>
              <c:f>'Per Capita Data - Other needs'!$B$3:$B$34</c:f>
              <c:strCache>
                <c:ptCount val="32"/>
                <c:pt idx="0">
                  <c:v>Glasgow City</c:v>
                </c:pt>
                <c:pt idx="1">
                  <c:v>Shetland Islands</c:v>
                </c:pt>
                <c:pt idx="2">
                  <c:v>Inverclyde</c:v>
                </c:pt>
                <c:pt idx="3">
                  <c:v>West Dunbartonshire</c:v>
                </c:pt>
                <c:pt idx="4">
                  <c:v>Edinburgh</c:v>
                </c:pt>
                <c:pt idx="5">
                  <c:v>Midlothian</c:v>
                </c:pt>
                <c:pt idx="6">
                  <c:v>Dundee City</c:v>
                </c:pt>
                <c:pt idx="7">
                  <c:v>Highland</c:v>
                </c:pt>
                <c:pt idx="8">
                  <c:v>North Ayrshire</c:v>
                </c:pt>
                <c:pt idx="9">
                  <c:v>Renfrewshire</c:v>
                </c:pt>
                <c:pt idx="10">
                  <c:v>East Renfrewshire</c:v>
                </c:pt>
                <c:pt idx="11">
                  <c:v>Moray</c:v>
                </c:pt>
                <c:pt idx="12">
                  <c:v>Clackmannanshire</c:v>
                </c:pt>
                <c:pt idx="13">
                  <c:v>Aberdeen City</c:v>
                </c:pt>
                <c:pt idx="14">
                  <c:v>Fife</c:v>
                </c:pt>
                <c:pt idx="15">
                  <c:v>East Dunbartonshire</c:v>
                </c:pt>
                <c:pt idx="16">
                  <c:v>Angus</c:v>
                </c:pt>
                <c:pt idx="17">
                  <c:v>South Ayrshire</c:v>
                </c:pt>
                <c:pt idx="18">
                  <c:v>Aberdeenshire</c:v>
                </c:pt>
                <c:pt idx="19">
                  <c:v>Argyll &amp; Bute</c:v>
                </c:pt>
                <c:pt idx="20">
                  <c:v>East Lothian</c:v>
                </c:pt>
                <c:pt idx="21">
                  <c:v>Perth &amp; Kinross</c:v>
                </c:pt>
                <c:pt idx="22">
                  <c:v>Stirling</c:v>
                </c:pt>
                <c:pt idx="23">
                  <c:v>East Ayrshire</c:v>
                </c:pt>
                <c:pt idx="24">
                  <c:v>Eilean Siar</c:v>
                </c:pt>
                <c:pt idx="25">
                  <c:v>North Lanarkshire</c:v>
                </c:pt>
                <c:pt idx="26">
                  <c:v>Falkirk</c:v>
                </c:pt>
                <c:pt idx="27">
                  <c:v>South Lanarkshire</c:v>
                </c:pt>
                <c:pt idx="28">
                  <c:v>West Lothian</c:v>
                </c:pt>
                <c:pt idx="29">
                  <c:v>Scottish Borders</c:v>
                </c:pt>
                <c:pt idx="30">
                  <c:v>Orkney Islands</c:v>
                </c:pt>
                <c:pt idx="31">
                  <c:v>Dumfries &amp; Galloway</c:v>
                </c:pt>
              </c:strCache>
            </c:strRef>
          </c:cat>
          <c:val>
            <c:numRef>
              <c:f>'Per Capita Data - Other needs'!$C$3:$C$34</c:f>
              <c:numCache>
                <c:formatCode>#,##0</c:formatCode>
                <c:ptCount val="32"/>
                <c:pt idx="0">
                  <c:v>61.985248395683151</c:v>
                </c:pt>
                <c:pt idx="1">
                  <c:v>51.338337345984989</c:v>
                </c:pt>
                <c:pt idx="2">
                  <c:v>42.307926891251753</c:v>
                </c:pt>
                <c:pt idx="3">
                  <c:v>29.630420090349659</c:v>
                </c:pt>
                <c:pt idx="4">
                  <c:v>23.877043099528564</c:v>
                </c:pt>
                <c:pt idx="5">
                  <c:v>22.24990417784592</c:v>
                </c:pt>
                <c:pt idx="6">
                  <c:v>21.727954676598646</c:v>
                </c:pt>
                <c:pt idx="7">
                  <c:v>21.002714880265902</c:v>
                </c:pt>
                <c:pt idx="8">
                  <c:v>20.636581912208335</c:v>
                </c:pt>
                <c:pt idx="9">
                  <c:v>20.424919508842496</c:v>
                </c:pt>
                <c:pt idx="10">
                  <c:v>20.089699395826386</c:v>
                </c:pt>
                <c:pt idx="11">
                  <c:v>19.522776572668114</c:v>
                </c:pt>
                <c:pt idx="12">
                  <c:v>18.537883829261339</c:v>
                </c:pt>
                <c:pt idx="13">
                  <c:v>16.889505469679712</c:v>
                </c:pt>
                <c:pt idx="14">
                  <c:v>16.718235799112893</c:v>
                </c:pt>
                <c:pt idx="15">
                  <c:v>14.843242043165924</c:v>
                </c:pt>
                <c:pt idx="16">
                  <c:v>14.536750540019849</c:v>
                </c:pt>
                <c:pt idx="17">
                  <c:v>13.518039275384382</c:v>
                </c:pt>
                <c:pt idx="18">
                  <c:v>13.12795378960266</c:v>
                </c:pt>
                <c:pt idx="19">
                  <c:v>13.117844588889108</c:v>
                </c:pt>
                <c:pt idx="20">
                  <c:v>12.011423908608732</c:v>
                </c:pt>
                <c:pt idx="21">
                  <c:v>11.892749844113146</c:v>
                </c:pt>
                <c:pt idx="22">
                  <c:v>9.9348850341456529</c:v>
                </c:pt>
                <c:pt idx="23">
                  <c:v>9.9258566562019901</c:v>
                </c:pt>
                <c:pt idx="24">
                  <c:v>9.5757498890227666</c:v>
                </c:pt>
                <c:pt idx="25">
                  <c:v>8.6250994657269526</c:v>
                </c:pt>
                <c:pt idx="26">
                  <c:v>8.5115089514066486</c:v>
                </c:pt>
                <c:pt idx="27">
                  <c:v>8.3765028356354225</c:v>
                </c:pt>
                <c:pt idx="28">
                  <c:v>5.5375093875261268</c:v>
                </c:pt>
                <c:pt idx="29">
                  <c:v>4.7091244965325094</c:v>
                </c:pt>
                <c:pt idx="30">
                  <c:v>3.8874203078836884</c:v>
                </c:pt>
                <c:pt idx="31">
                  <c:v>3.3509903270382315</c:v>
                </c:pt>
              </c:numCache>
            </c:numRef>
          </c:val>
        </c:ser>
        <c:ser>
          <c:idx val="2"/>
          <c:order val="2"/>
          <c:spPr>
            <a:solidFill>
              <a:srgbClr val="FFFF00"/>
            </a:solidFill>
            <a:ln w="12700">
              <a:solidFill>
                <a:srgbClr val="000000"/>
              </a:solidFill>
              <a:prstDash val="solid"/>
            </a:ln>
          </c:spPr>
          <c:invertIfNegative val="0"/>
          <c:cat>
            <c:strRef>
              <c:f>'Per Capita Data - Other needs'!$B$3:$B$34</c:f>
              <c:strCache>
                <c:ptCount val="32"/>
                <c:pt idx="0">
                  <c:v>Glasgow City</c:v>
                </c:pt>
                <c:pt idx="1">
                  <c:v>Shetland Islands</c:v>
                </c:pt>
                <c:pt idx="2">
                  <c:v>Inverclyde</c:v>
                </c:pt>
                <c:pt idx="3">
                  <c:v>West Dunbartonshire</c:v>
                </c:pt>
                <c:pt idx="4">
                  <c:v>Edinburgh</c:v>
                </c:pt>
                <c:pt idx="5">
                  <c:v>Midlothian</c:v>
                </c:pt>
                <c:pt idx="6">
                  <c:v>Dundee City</c:v>
                </c:pt>
                <c:pt idx="7">
                  <c:v>Highland</c:v>
                </c:pt>
                <c:pt idx="8">
                  <c:v>North Ayrshire</c:v>
                </c:pt>
                <c:pt idx="9">
                  <c:v>Renfrewshire</c:v>
                </c:pt>
                <c:pt idx="10">
                  <c:v>East Renfrewshire</c:v>
                </c:pt>
                <c:pt idx="11">
                  <c:v>Moray</c:v>
                </c:pt>
                <c:pt idx="12">
                  <c:v>Clackmannanshire</c:v>
                </c:pt>
                <c:pt idx="13">
                  <c:v>Aberdeen City</c:v>
                </c:pt>
                <c:pt idx="14">
                  <c:v>Fife</c:v>
                </c:pt>
                <c:pt idx="15">
                  <c:v>East Dunbartonshire</c:v>
                </c:pt>
                <c:pt idx="16">
                  <c:v>Angus</c:v>
                </c:pt>
                <c:pt idx="17">
                  <c:v>South Ayrshire</c:v>
                </c:pt>
                <c:pt idx="18">
                  <c:v>Aberdeenshire</c:v>
                </c:pt>
                <c:pt idx="19">
                  <c:v>Argyll &amp; Bute</c:v>
                </c:pt>
                <c:pt idx="20">
                  <c:v>East Lothian</c:v>
                </c:pt>
                <c:pt idx="21">
                  <c:v>Perth &amp; Kinross</c:v>
                </c:pt>
                <c:pt idx="22">
                  <c:v>Stirling</c:v>
                </c:pt>
                <c:pt idx="23">
                  <c:v>East Ayrshire</c:v>
                </c:pt>
                <c:pt idx="24">
                  <c:v>Eilean Siar</c:v>
                </c:pt>
                <c:pt idx="25">
                  <c:v>North Lanarkshire</c:v>
                </c:pt>
                <c:pt idx="26">
                  <c:v>Falkirk</c:v>
                </c:pt>
                <c:pt idx="27">
                  <c:v>South Lanarkshire</c:v>
                </c:pt>
                <c:pt idx="28">
                  <c:v>West Lothian</c:v>
                </c:pt>
                <c:pt idx="29">
                  <c:v>Scottish Borders</c:v>
                </c:pt>
                <c:pt idx="30">
                  <c:v>Orkney Islands</c:v>
                </c:pt>
                <c:pt idx="31">
                  <c:v>Dumfries &amp; Galloway</c:v>
                </c:pt>
              </c:strCache>
            </c:strRef>
          </c:cat>
          <c:val>
            <c:numRef>
              <c:f>'Per Capita Data - Other needs'!$D$3:$D$34</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16.889505469679712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192644992"/>
        <c:axId val="192646528"/>
      </c:barChart>
      <c:lineChart>
        <c:grouping val="standard"/>
        <c:varyColors val="0"/>
        <c:ser>
          <c:idx val="0"/>
          <c:order val="1"/>
          <c:spPr>
            <a:ln w="25400">
              <a:solidFill>
                <a:srgbClr val="FF0000"/>
              </a:solidFill>
              <a:prstDash val="solid"/>
            </a:ln>
          </c:spPr>
          <c:marker>
            <c:symbol val="none"/>
          </c:marker>
          <c:cat>
            <c:strRef>
              <c:f>'Per Capita Data - Other needs'!$B$3:$B$34</c:f>
              <c:strCache>
                <c:ptCount val="32"/>
                <c:pt idx="0">
                  <c:v>Glasgow City</c:v>
                </c:pt>
                <c:pt idx="1">
                  <c:v>Shetland Islands</c:v>
                </c:pt>
                <c:pt idx="2">
                  <c:v>Inverclyde</c:v>
                </c:pt>
                <c:pt idx="3">
                  <c:v>West Dunbartonshire</c:v>
                </c:pt>
                <c:pt idx="4">
                  <c:v>Edinburgh</c:v>
                </c:pt>
                <c:pt idx="5">
                  <c:v>Midlothian</c:v>
                </c:pt>
                <c:pt idx="6">
                  <c:v>Dundee City</c:v>
                </c:pt>
                <c:pt idx="7">
                  <c:v>Highland</c:v>
                </c:pt>
                <c:pt idx="8">
                  <c:v>North Ayrshire</c:v>
                </c:pt>
                <c:pt idx="9">
                  <c:v>Renfrewshire</c:v>
                </c:pt>
                <c:pt idx="10">
                  <c:v>East Renfrewshire</c:v>
                </c:pt>
                <c:pt idx="11">
                  <c:v>Moray</c:v>
                </c:pt>
                <c:pt idx="12">
                  <c:v>Clackmannanshire</c:v>
                </c:pt>
                <c:pt idx="13">
                  <c:v>Aberdeen City</c:v>
                </c:pt>
                <c:pt idx="14">
                  <c:v>Fife</c:v>
                </c:pt>
                <c:pt idx="15">
                  <c:v>East Dunbartonshire</c:v>
                </c:pt>
                <c:pt idx="16">
                  <c:v>Angus</c:v>
                </c:pt>
                <c:pt idx="17">
                  <c:v>South Ayrshire</c:v>
                </c:pt>
                <c:pt idx="18">
                  <c:v>Aberdeenshire</c:v>
                </c:pt>
                <c:pt idx="19">
                  <c:v>Argyll &amp; Bute</c:v>
                </c:pt>
                <c:pt idx="20">
                  <c:v>East Lothian</c:v>
                </c:pt>
                <c:pt idx="21">
                  <c:v>Perth &amp; Kinross</c:v>
                </c:pt>
                <c:pt idx="22">
                  <c:v>Stirling</c:v>
                </c:pt>
                <c:pt idx="23">
                  <c:v>East Ayrshire</c:v>
                </c:pt>
                <c:pt idx="24">
                  <c:v>Eilean Siar</c:v>
                </c:pt>
                <c:pt idx="25">
                  <c:v>North Lanarkshire</c:v>
                </c:pt>
                <c:pt idx="26">
                  <c:v>Falkirk</c:v>
                </c:pt>
                <c:pt idx="27">
                  <c:v>South Lanarkshire</c:v>
                </c:pt>
                <c:pt idx="28">
                  <c:v>West Lothian</c:v>
                </c:pt>
                <c:pt idx="29">
                  <c:v>Scottish Borders</c:v>
                </c:pt>
                <c:pt idx="30">
                  <c:v>Orkney Islands</c:v>
                </c:pt>
                <c:pt idx="31">
                  <c:v>Dumfries &amp; Galloway</c:v>
                </c:pt>
              </c:strCache>
            </c:strRef>
          </c:cat>
          <c:val>
            <c:numRef>
              <c:f>'Per Capita Data - Other needs'!$E$3:$E$34</c:f>
              <c:numCache>
                <c:formatCode>#,##0</c:formatCode>
                <c:ptCount val="32"/>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numCache>
            </c:numRef>
          </c:val>
          <c:smooth val="0"/>
        </c:ser>
        <c:dLbls>
          <c:showLegendKey val="0"/>
          <c:showVal val="0"/>
          <c:showCatName val="0"/>
          <c:showSerName val="0"/>
          <c:showPercent val="0"/>
          <c:showBubbleSize val="0"/>
        </c:dLbls>
        <c:marker val="1"/>
        <c:smooth val="0"/>
        <c:axId val="192644992"/>
        <c:axId val="192646528"/>
      </c:lineChart>
      <c:catAx>
        <c:axId val="19264499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192646528"/>
        <c:crosses val="autoZero"/>
        <c:auto val="0"/>
        <c:lblAlgn val="ctr"/>
        <c:lblOffset val="100"/>
        <c:tickLblSkip val="1"/>
        <c:tickMarkSkip val="1"/>
        <c:noMultiLvlLbl val="0"/>
      </c:catAx>
      <c:valAx>
        <c:axId val="1926465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18-64 (£)</a:t>
                </a:r>
              </a:p>
            </c:rich>
          </c:tx>
          <c:layout>
            <c:manualLayout>
              <c:xMode val="edge"/>
              <c:yMode val="edge"/>
              <c:x val="8.3056478405315621E-3"/>
              <c:y val="4.6511627906976744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Calibri"/>
                <a:ea typeface="Calibri"/>
                <a:cs typeface="Calibri"/>
              </a:defRPr>
            </a:pPr>
            <a:endParaRPr lang="en-US"/>
          </a:p>
        </c:txPr>
        <c:crossAx val="19264499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Cover!$N$242</c:f>
          <c:strCache>
            <c:ptCount val="1"/>
            <c:pt idx="0">
              <c:v>Children looked after away from home by age group (Aberdeen City)</c:v>
            </c:pt>
          </c:strCache>
        </c:strRef>
      </c:tx>
      <c:layout>
        <c:manualLayout>
          <c:xMode val="edge"/>
          <c:yMode val="edge"/>
          <c:x val="0.17598684210526316"/>
          <c:y val="1.8450217745001416E-2"/>
        </c:manualLayout>
      </c:layout>
      <c:overlay val="0"/>
      <c:spPr>
        <a:noFill/>
        <a:ln w="25400">
          <a:noFill/>
        </a:ln>
      </c:spPr>
      <c:txPr>
        <a:bodyPr/>
        <a:lstStyle/>
        <a:p>
          <a:pPr>
            <a:defRPr sz="115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8.2236842105263164E-2"/>
          <c:y val="0.16236191615601245"/>
          <c:w val="0.89638157894736847"/>
          <c:h val="0.61623727268304729"/>
        </c:manualLayout>
      </c:layout>
      <c:lineChart>
        <c:grouping val="standard"/>
        <c:varyColors val="0"/>
        <c:ser>
          <c:idx val="0"/>
          <c:order val="0"/>
          <c:tx>
            <c:strRef>
              <c:f>Cover!$M$245</c:f>
              <c:strCache>
                <c:ptCount val="1"/>
                <c:pt idx="0">
                  <c:v>0-4</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Cover!$N$244:$V$244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Cover!$N$245:$V$245</c:f>
              <c:numCache>
                <c:formatCode>#,##0</c:formatCode>
                <c:ptCount val="9"/>
                <c:pt idx="0">
                  <c:v>120</c:v>
                </c:pt>
                <c:pt idx="1">
                  <c:v>117</c:v>
                </c:pt>
                <c:pt idx="2">
                  <c:v>141</c:v>
                </c:pt>
                <c:pt idx="3">
                  <c:v>117</c:v>
                </c:pt>
                <c:pt idx="4">
                  <c:v>115</c:v>
                </c:pt>
                <c:pt idx="5">
                  <c:v>125</c:v>
                </c:pt>
                <c:pt idx="6">
                  <c:v>117</c:v>
                </c:pt>
                <c:pt idx="7">
                  <c:v>116</c:v>
                </c:pt>
                <c:pt idx="8">
                  <c:v>108</c:v>
                </c:pt>
              </c:numCache>
            </c:numRef>
          </c:val>
          <c:smooth val="0"/>
        </c:ser>
        <c:ser>
          <c:idx val="1"/>
          <c:order val="1"/>
          <c:tx>
            <c:strRef>
              <c:f>Cover!$M$246</c:f>
              <c:strCache>
                <c:ptCount val="1"/>
                <c:pt idx="0">
                  <c:v>5-11</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Cover!$N$244:$V$244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Cover!$N$246:$V$246</c:f>
              <c:numCache>
                <c:formatCode>#,##0</c:formatCode>
                <c:ptCount val="9"/>
                <c:pt idx="0">
                  <c:v>128</c:v>
                </c:pt>
                <c:pt idx="1">
                  <c:v>149</c:v>
                </c:pt>
                <c:pt idx="2">
                  <c:v>171</c:v>
                </c:pt>
                <c:pt idx="3">
                  <c:v>175</c:v>
                </c:pt>
                <c:pt idx="4">
                  <c:v>173</c:v>
                </c:pt>
                <c:pt idx="5">
                  <c:v>168</c:v>
                </c:pt>
                <c:pt idx="6">
                  <c:v>164</c:v>
                </c:pt>
                <c:pt idx="7">
                  <c:v>148</c:v>
                </c:pt>
                <c:pt idx="8">
                  <c:v>146</c:v>
                </c:pt>
              </c:numCache>
            </c:numRef>
          </c:val>
          <c:smooth val="0"/>
        </c:ser>
        <c:ser>
          <c:idx val="2"/>
          <c:order val="2"/>
          <c:tx>
            <c:strRef>
              <c:f>Cover!$M$247</c:f>
              <c:strCache>
                <c:ptCount val="1"/>
                <c:pt idx="0">
                  <c:v>12-17</c:v>
                </c:pt>
              </c:strCache>
            </c:strRef>
          </c:tx>
          <c:spPr>
            <a:ln w="25400">
              <a:solidFill>
                <a:srgbClr val="339966"/>
              </a:solidFill>
              <a:prstDash val="solid"/>
            </a:ln>
          </c:spPr>
          <c:marker>
            <c:symbol val="triangle"/>
            <c:size val="5"/>
            <c:spPr>
              <a:solidFill>
                <a:srgbClr val="339966"/>
              </a:solidFill>
              <a:ln>
                <a:solidFill>
                  <a:srgbClr val="339966"/>
                </a:solidFill>
                <a:prstDash val="solid"/>
              </a:ln>
            </c:spPr>
          </c:marker>
          <c:cat>
            <c:numRef>
              <c:f>Cover!$N$244:$V$244</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Cover!$N$247:$V$247</c:f>
              <c:numCache>
                <c:formatCode>#,##0</c:formatCode>
                <c:ptCount val="9"/>
                <c:pt idx="0">
                  <c:v>169</c:v>
                </c:pt>
                <c:pt idx="1">
                  <c:v>178</c:v>
                </c:pt>
                <c:pt idx="2">
                  <c:v>169</c:v>
                </c:pt>
                <c:pt idx="3">
                  <c:v>157</c:v>
                </c:pt>
                <c:pt idx="4">
                  <c:v>148</c:v>
                </c:pt>
                <c:pt idx="5">
                  <c:v>146</c:v>
                </c:pt>
                <c:pt idx="6">
                  <c:v>156</c:v>
                </c:pt>
                <c:pt idx="7">
                  <c:v>168</c:v>
                </c:pt>
                <c:pt idx="8">
                  <c:v>169</c:v>
                </c:pt>
              </c:numCache>
            </c:numRef>
          </c:val>
          <c:smooth val="0"/>
        </c:ser>
        <c:dLbls>
          <c:showLegendKey val="0"/>
          <c:showVal val="0"/>
          <c:showCatName val="0"/>
          <c:showSerName val="0"/>
          <c:showPercent val="0"/>
          <c:showBubbleSize val="0"/>
        </c:dLbls>
        <c:marker val="1"/>
        <c:smooth val="0"/>
        <c:axId val="313003392"/>
        <c:axId val="313009664"/>
      </c:lineChart>
      <c:catAx>
        <c:axId val="31300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3009664"/>
        <c:crosses val="autoZero"/>
        <c:auto val="1"/>
        <c:lblAlgn val="ctr"/>
        <c:lblOffset val="100"/>
        <c:tickLblSkip val="1"/>
        <c:tickMarkSkip val="1"/>
        <c:noMultiLvlLbl val="0"/>
      </c:catAx>
      <c:valAx>
        <c:axId val="3130096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children</a:t>
                </a:r>
              </a:p>
            </c:rich>
          </c:tx>
          <c:layout>
            <c:manualLayout>
              <c:xMode val="edge"/>
              <c:yMode val="edge"/>
              <c:x val="8.2236842105263153E-3"/>
              <c:y val="0.265683135528020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3003392"/>
        <c:crosses val="autoZero"/>
        <c:crossBetween val="between"/>
      </c:valAx>
      <c:spPr>
        <a:noFill/>
        <a:ln w="25400">
          <a:noFill/>
        </a:ln>
      </c:spPr>
    </c:plotArea>
    <c:legend>
      <c:legendPos val="r"/>
      <c:layout>
        <c:manualLayout>
          <c:xMode val="edge"/>
          <c:yMode val="edge"/>
          <c:x val="0.39802631578947367"/>
          <c:y val="0.88561045176006792"/>
          <c:w val="0.29440789473684209"/>
          <c:h val="8.4871001627006504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Older people supported in care homes
(rate per 1,000 population aged 65+)
</a:t>
            </a:r>
          </a:p>
        </c:rich>
      </c:tx>
      <c:layout>
        <c:manualLayout>
          <c:xMode val="edge"/>
          <c:yMode val="edge"/>
          <c:x val="0.30932896890343697"/>
          <c:y val="3.3557101964106356E-2"/>
        </c:manualLayout>
      </c:layout>
      <c:overlay val="0"/>
      <c:spPr>
        <a:noFill/>
        <a:ln w="25400">
          <a:noFill/>
        </a:ln>
      </c:spPr>
    </c:title>
    <c:autoTitleDeleted val="0"/>
    <c:plotArea>
      <c:layout>
        <c:manualLayout>
          <c:layoutTarget val="inner"/>
          <c:xMode val="edge"/>
          <c:yMode val="edge"/>
          <c:x val="0.10147299509001637"/>
          <c:y val="0.19127548119540622"/>
          <c:w val="0.87070376432078556"/>
          <c:h val="0.60402783535391436"/>
        </c:manualLayout>
      </c:layout>
      <c:lineChart>
        <c:grouping val="standard"/>
        <c:varyColors val="0"/>
        <c:ser>
          <c:idx val="0"/>
          <c:order val="0"/>
          <c:tx>
            <c:strRef>
              <c:f>Cover!$N$541</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Cover!$O$540:$X$540</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Cover!$O$541:$X$541</c:f>
              <c:numCache>
                <c:formatCode>0.0</c:formatCode>
                <c:ptCount val="10"/>
                <c:pt idx="0">
                  <c:v>41.506628670548878</c:v>
                </c:pt>
                <c:pt idx="1">
                  <c:v>50.489406517160205</c:v>
                </c:pt>
                <c:pt idx="2">
                  <c:v>49.271769445305239</c:v>
                </c:pt>
                <c:pt idx="3">
                  <c:v>47.833514520888343</c:v>
                </c:pt>
                <c:pt idx="4">
                  <c:v>47.525859658932063</c:v>
                </c:pt>
                <c:pt idx="5">
                  <c:v>47.96760629185485</c:v>
                </c:pt>
                <c:pt idx="6">
                  <c:v>44.652547365809795</c:v>
                </c:pt>
                <c:pt idx="7">
                  <c:v>36.181631791593801</c:v>
                </c:pt>
                <c:pt idx="8">
                  <c:v>39.747278497908816</c:v>
                </c:pt>
                <c:pt idx="9">
                  <c:v>39.403403286535706</c:v>
                </c:pt>
              </c:numCache>
            </c:numRef>
          </c:val>
          <c:smooth val="0"/>
        </c:ser>
        <c:ser>
          <c:idx val="1"/>
          <c:order val="1"/>
          <c:tx>
            <c:strRef>
              <c:f>Cover!$N$542</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Cover!$O$540:$X$540</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Cover!$O$542:$X$542</c:f>
              <c:numCache>
                <c:formatCode>0.0</c:formatCode>
                <c:ptCount val="10"/>
                <c:pt idx="0">
                  <c:v>38.435038543069567</c:v>
                </c:pt>
                <c:pt idx="1">
                  <c:v>37.805739598648159</c:v>
                </c:pt>
                <c:pt idx="2">
                  <c:v>37.523074976378084</c:v>
                </c:pt>
                <c:pt idx="3">
                  <c:v>36.810761397851593</c:v>
                </c:pt>
                <c:pt idx="4">
                  <c:v>36.234387089642972</c:v>
                </c:pt>
                <c:pt idx="5">
                  <c:v>35.270360617265418</c:v>
                </c:pt>
                <c:pt idx="6">
                  <c:v>34.305259916730257</c:v>
                </c:pt>
                <c:pt idx="7">
                  <c:v>32.535746653257739</c:v>
                </c:pt>
                <c:pt idx="8">
                  <c:v>32.106051357008731</c:v>
                </c:pt>
                <c:pt idx="9">
                  <c:v>31.24777336380318</c:v>
                </c:pt>
              </c:numCache>
            </c:numRef>
          </c:val>
          <c:smooth val="0"/>
        </c:ser>
        <c:ser>
          <c:idx val="2"/>
          <c:order val="2"/>
          <c:tx>
            <c:strRef>
              <c:f>Cover!$N$543</c:f>
              <c:strCache>
                <c:ptCount val="1"/>
                <c:pt idx="0">
                  <c:v>Min</c:v>
                </c:pt>
              </c:strCache>
            </c:strRef>
          </c:tx>
          <c:spPr>
            <a:ln w="25400">
              <a:solidFill>
                <a:srgbClr val="000000"/>
              </a:solidFill>
              <a:prstDash val="sysDash"/>
            </a:ln>
          </c:spPr>
          <c:marker>
            <c:symbol val="none"/>
          </c:marker>
          <c:cat>
            <c:strRef>
              <c:f>Cover!$O$540:$X$540</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Cover!$O$543:$X$543</c:f>
              <c:numCache>
                <c:formatCode>0.0</c:formatCode>
                <c:ptCount val="10"/>
                <c:pt idx="0">
                  <c:v>26.46280505733608</c:v>
                </c:pt>
                <c:pt idx="1">
                  <c:v>26.191723415400734</c:v>
                </c:pt>
                <c:pt idx="2">
                  <c:v>27.048958615093319</c:v>
                </c:pt>
                <c:pt idx="3">
                  <c:v>28.336639274582033</c:v>
                </c:pt>
                <c:pt idx="4">
                  <c:v>27.258738184216309</c:v>
                </c:pt>
                <c:pt idx="5">
                  <c:v>25.100401606425702</c:v>
                </c:pt>
                <c:pt idx="6">
                  <c:v>23.424689622862495</c:v>
                </c:pt>
                <c:pt idx="7">
                  <c:v>22.471910112359549</c:v>
                </c:pt>
                <c:pt idx="8">
                  <c:v>21.929824561403507</c:v>
                </c:pt>
                <c:pt idx="9">
                  <c:v>21.199915200339198</c:v>
                </c:pt>
              </c:numCache>
            </c:numRef>
          </c:val>
          <c:smooth val="0"/>
        </c:ser>
        <c:ser>
          <c:idx val="3"/>
          <c:order val="3"/>
          <c:tx>
            <c:strRef>
              <c:f>Cover!$N$544</c:f>
              <c:strCache>
                <c:ptCount val="1"/>
                <c:pt idx="0">
                  <c:v>Max</c:v>
                </c:pt>
              </c:strCache>
            </c:strRef>
          </c:tx>
          <c:spPr>
            <a:ln w="25400">
              <a:solidFill>
                <a:srgbClr val="000000"/>
              </a:solidFill>
              <a:prstDash val="sysDash"/>
            </a:ln>
          </c:spPr>
          <c:marker>
            <c:symbol val="none"/>
          </c:marker>
          <c:cat>
            <c:strRef>
              <c:f>Cover!$O$540:$X$540</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Cover!$O$544:$X$544</c:f>
              <c:numCache>
                <c:formatCode>0.0</c:formatCode>
                <c:ptCount val="10"/>
                <c:pt idx="0">
                  <c:v>44.986918277711347</c:v>
                </c:pt>
                <c:pt idx="1">
                  <c:v>53.629142052113792</c:v>
                </c:pt>
                <c:pt idx="2">
                  <c:v>53.210656545030872</c:v>
                </c:pt>
                <c:pt idx="3">
                  <c:v>52.164840897235266</c:v>
                </c:pt>
                <c:pt idx="4">
                  <c:v>51.260669086628084</c:v>
                </c:pt>
                <c:pt idx="5">
                  <c:v>49.46638141053387</c:v>
                </c:pt>
                <c:pt idx="6">
                  <c:v>48.145311303206043</c:v>
                </c:pt>
                <c:pt idx="7">
                  <c:v>47.011740880927697</c:v>
                </c:pt>
                <c:pt idx="8">
                  <c:v>45.678018054837665</c:v>
                </c:pt>
                <c:pt idx="9">
                  <c:v>43.336944745395449</c:v>
                </c:pt>
              </c:numCache>
            </c:numRef>
          </c:val>
          <c:smooth val="0"/>
        </c:ser>
        <c:dLbls>
          <c:showLegendKey val="0"/>
          <c:showVal val="0"/>
          <c:showCatName val="0"/>
          <c:showSerName val="0"/>
          <c:showPercent val="0"/>
          <c:showBubbleSize val="0"/>
        </c:dLbls>
        <c:marker val="1"/>
        <c:smooth val="0"/>
        <c:axId val="313049472"/>
        <c:axId val="313051008"/>
      </c:lineChart>
      <c:catAx>
        <c:axId val="31304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Calibri"/>
                <a:ea typeface="Calibri"/>
                <a:cs typeface="Calibri"/>
              </a:defRPr>
            </a:pPr>
            <a:endParaRPr lang="en-US"/>
          </a:p>
        </c:txPr>
        <c:crossAx val="313051008"/>
        <c:crosses val="autoZero"/>
        <c:auto val="1"/>
        <c:lblAlgn val="ctr"/>
        <c:lblOffset val="100"/>
        <c:tickLblSkip val="1"/>
        <c:tickMarkSkip val="1"/>
        <c:noMultiLvlLbl val="0"/>
      </c:catAx>
      <c:valAx>
        <c:axId val="313051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2.1276595744680851E-2"/>
              <c:y val="0.157718379231299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049472"/>
        <c:crosses val="autoZero"/>
        <c:crossBetween val="between"/>
      </c:valAx>
      <c:spPr>
        <a:noFill/>
        <a:ln w="25400">
          <a:noFill/>
        </a:ln>
      </c:spPr>
    </c:plotArea>
    <c:legend>
      <c:legendPos val="r"/>
      <c:layout>
        <c:manualLayout>
          <c:xMode val="edge"/>
          <c:yMode val="edge"/>
          <c:x val="0.27823240589198034"/>
          <c:y val="0.91275317342369278"/>
          <c:w val="0.60556464811783961"/>
          <c:h val="7.7181334517444619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Older people supported in care homes, 2014/15
(rate per 1,000 population aged 65+)</a:t>
            </a:r>
          </a:p>
        </c:rich>
      </c:tx>
      <c:layout>
        <c:manualLayout>
          <c:xMode val="edge"/>
          <c:yMode val="edge"/>
          <c:x val="0.25817034660045607"/>
          <c:y val="3.3536635290579882E-2"/>
        </c:manualLayout>
      </c:layout>
      <c:overlay val="0"/>
      <c:spPr>
        <a:noFill/>
        <a:ln w="25400">
          <a:noFill/>
        </a:ln>
      </c:spPr>
    </c:title>
    <c:autoTitleDeleted val="0"/>
    <c:plotArea>
      <c:layout>
        <c:manualLayout>
          <c:layoutTarget val="inner"/>
          <c:xMode val="edge"/>
          <c:yMode val="edge"/>
          <c:x val="0.10294134073309323"/>
          <c:y val="0.17987831655856482"/>
          <c:w val="0.86274647471544808"/>
          <c:h val="0.5182934544907799"/>
        </c:manualLayout>
      </c:layout>
      <c:barChart>
        <c:barDir val="col"/>
        <c:grouping val="clustered"/>
        <c:varyColors val="0"/>
        <c:ser>
          <c:idx val="1"/>
          <c:order val="0"/>
          <c:tx>
            <c:strRef>
              <c:f>'Statistics - Older People'!$B$63</c:f>
              <c:strCache>
                <c:ptCount val="1"/>
                <c:pt idx="0">
                  <c:v>Rate per 1,000 (2014/15)</c:v>
                </c:pt>
              </c:strCache>
            </c:strRef>
          </c:tx>
          <c:spPr>
            <a:solidFill>
              <a:srgbClr val="0000FF"/>
            </a:solidFill>
            <a:ln w="12700">
              <a:solidFill>
                <a:srgbClr val="000000"/>
              </a:solidFill>
              <a:prstDash val="solid"/>
            </a:ln>
          </c:spPr>
          <c:invertIfNegative val="0"/>
          <c:cat>
            <c:strRef>
              <c:f>'Statistics - Older People'!$A$64:$A$96</c:f>
              <c:strCache>
                <c:ptCount val="32"/>
                <c:pt idx="0">
                  <c:v>Inverclyde</c:v>
                </c:pt>
                <c:pt idx="1">
                  <c:v>Glasgow City</c:v>
                </c:pt>
                <c:pt idx="2">
                  <c:v>Dundee City</c:v>
                </c:pt>
                <c:pt idx="3">
                  <c:v>Aberdeen City</c:v>
                </c:pt>
                <c:pt idx="4">
                  <c:v>Edinburgh</c:v>
                </c:pt>
                <c:pt idx="5">
                  <c:v>West Dunbartonshire</c:v>
                </c:pt>
                <c:pt idx="6">
                  <c:v>South Ayrshire</c:v>
                </c:pt>
                <c:pt idx="7">
                  <c:v>Highland</c:v>
                </c:pt>
                <c:pt idx="8">
                  <c:v>North Ayrshire</c:v>
                </c:pt>
                <c:pt idx="9">
                  <c:v>East Renfrewshire</c:v>
                </c:pt>
                <c:pt idx="10">
                  <c:v>Renfrewshire</c:v>
                </c:pt>
                <c:pt idx="11">
                  <c:v>Fife</c:v>
                </c:pt>
                <c:pt idx="12">
                  <c:v>East Ayrshire</c:v>
                </c:pt>
                <c:pt idx="13">
                  <c:v>Aberdeenshire</c:v>
                </c:pt>
                <c:pt idx="14">
                  <c:v>Falkirk</c:v>
                </c:pt>
                <c:pt idx="15">
                  <c:v>South Lanarkshire</c:v>
                </c:pt>
                <c:pt idx="16">
                  <c:v>East Lothian</c:v>
                </c:pt>
                <c:pt idx="17">
                  <c:v>East Dunbartonshire</c:v>
                </c:pt>
                <c:pt idx="18">
                  <c:v>Eilean Siar</c:v>
                </c:pt>
                <c:pt idx="19">
                  <c:v>Angus</c:v>
                </c:pt>
                <c:pt idx="20">
                  <c:v>Midlothian</c:v>
                </c:pt>
                <c:pt idx="21">
                  <c:v>Stirling</c:v>
                </c:pt>
                <c:pt idx="22">
                  <c:v>Moray</c:v>
                </c:pt>
                <c:pt idx="23">
                  <c:v>Dumfries &amp; Galloway</c:v>
                </c:pt>
                <c:pt idx="24">
                  <c:v>West Lothian</c:v>
                </c:pt>
                <c:pt idx="25">
                  <c:v>Scottish Borders</c:v>
                </c:pt>
                <c:pt idx="26">
                  <c:v>Perth &amp; Kinross</c:v>
                </c:pt>
                <c:pt idx="27">
                  <c:v>Argyll &amp; Bute</c:v>
                </c:pt>
                <c:pt idx="28">
                  <c:v>Shetland Islands</c:v>
                </c:pt>
                <c:pt idx="29">
                  <c:v>North Lanarkshire</c:v>
                </c:pt>
                <c:pt idx="30">
                  <c:v>Clackmannanshire</c:v>
                </c:pt>
                <c:pt idx="31">
                  <c:v>Orkney Islands</c:v>
                </c:pt>
              </c:strCache>
            </c:strRef>
          </c:cat>
          <c:val>
            <c:numRef>
              <c:f>'Statistics - Older People'!$B$64:$B$96</c:f>
              <c:numCache>
                <c:formatCode>0.0</c:formatCode>
                <c:ptCount val="33"/>
                <c:pt idx="0">
                  <c:v>43.336944745395449</c:v>
                </c:pt>
                <c:pt idx="1">
                  <c:v>42.737600708701954</c:v>
                </c:pt>
                <c:pt idx="2">
                  <c:v>40.703985113971157</c:v>
                </c:pt>
                <c:pt idx="3">
                  <c:v>39.403403286535706</c:v>
                </c:pt>
                <c:pt idx="4">
                  <c:v>35.090571610508199</c:v>
                </c:pt>
                <c:pt idx="5">
                  <c:v>34.305317324185253</c:v>
                </c:pt>
                <c:pt idx="6">
                  <c:v>34.121929026387626</c:v>
                </c:pt>
                <c:pt idx="7">
                  <c:v>32.489846922836612</c:v>
                </c:pt>
                <c:pt idx="8">
                  <c:v>32.292032292032296</c:v>
                </c:pt>
                <c:pt idx="9">
                  <c:v>32.223415682062303</c:v>
                </c:pt>
                <c:pt idx="10">
                  <c:v>31.180120311171304</c:v>
                </c:pt>
                <c:pt idx="11">
                  <c:v>31.099165529178336</c:v>
                </c:pt>
                <c:pt idx="12">
                  <c:v>31.027795733678087</c:v>
                </c:pt>
                <c:pt idx="13">
                  <c:v>30.794094522582338</c:v>
                </c:pt>
                <c:pt idx="14">
                  <c:v>30.757125996924287</c:v>
                </c:pt>
                <c:pt idx="15">
                  <c:v>29.336203305096515</c:v>
                </c:pt>
                <c:pt idx="16">
                  <c:v>29.236766516208451</c:v>
                </c:pt>
                <c:pt idx="17">
                  <c:v>28.288543140028288</c:v>
                </c:pt>
                <c:pt idx="18">
                  <c:v>27.924294135898233</c:v>
                </c:pt>
                <c:pt idx="19">
                  <c:v>27.698669683610969</c:v>
                </c:pt>
                <c:pt idx="20">
                  <c:v>26.260167808877217</c:v>
                </c:pt>
                <c:pt idx="21">
                  <c:v>26.072529035316428</c:v>
                </c:pt>
                <c:pt idx="22">
                  <c:v>25.789473684210524</c:v>
                </c:pt>
                <c:pt idx="23">
                  <c:v>25.723472668810288</c:v>
                </c:pt>
                <c:pt idx="24">
                  <c:v>25.064504238849985</c:v>
                </c:pt>
                <c:pt idx="25">
                  <c:v>24.685731647107971</c:v>
                </c:pt>
                <c:pt idx="26">
                  <c:v>24.295731332267192</c:v>
                </c:pt>
                <c:pt idx="27">
                  <c:v>24.156877605153465</c:v>
                </c:pt>
                <c:pt idx="28">
                  <c:v>23.629489603024574</c:v>
                </c:pt>
                <c:pt idx="29">
                  <c:v>23.54358300481822</c:v>
                </c:pt>
                <c:pt idx="30">
                  <c:v>21.438525029477972</c:v>
                </c:pt>
                <c:pt idx="31">
                  <c:v>21.199915200339198</c:v>
                </c:pt>
              </c:numCache>
            </c:numRef>
          </c:val>
        </c:ser>
        <c:ser>
          <c:idx val="0"/>
          <c:order val="1"/>
          <c:tx>
            <c:strRef>
              <c:f>'Statistics - Older People'!$C$63</c:f>
              <c:strCache>
                <c:ptCount val="1"/>
              </c:strCache>
            </c:strRef>
          </c:tx>
          <c:spPr>
            <a:solidFill>
              <a:srgbClr val="FFFF00"/>
            </a:solidFill>
            <a:ln w="12700">
              <a:solidFill>
                <a:srgbClr val="000000"/>
              </a:solidFill>
              <a:prstDash val="solid"/>
            </a:ln>
          </c:spPr>
          <c:invertIfNegative val="0"/>
          <c:cat>
            <c:strRef>
              <c:f>'Statistics - Older People'!$A$64:$A$96</c:f>
              <c:strCache>
                <c:ptCount val="32"/>
                <c:pt idx="0">
                  <c:v>Inverclyde</c:v>
                </c:pt>
                <c:pt idx="1">
                  <c:v>Glasgow City</c:v>
                </c:pt>
                <c:pt idx="2">
                  <c:v>Dundee City</c:v>
                </c:pt>
                <c:pt idx="3">
                  <c:v>Aberdeen City</c:v>
                </c:pt>
                <c:pt idx="4">
                  <c:v>Edinburgh</c:v>
                </c:pt>
                <c:pt idx="5">
                  <c:v>West Dunbartonshire</c:v>
                </c:pt>
                <c:pt idx="6">
                  <c:v>South Ayrshire</c:v>
                </c:pt>
                <c:pt idx="7">
                  <c:v>Highland</c:v>
                </c:pt>
                <c:pt idx="8">
                  <c:v>North Ayrshire</c:v>
                </c:pt>
                <c:pt idx="9">
                  <c:v>East Renfrewshire</c:v>
                </c:pt>
                <c:pt idx="10">
                  <c:v>Renfrewshire</c:v>
                </c:pt>
                <c:pt idx="11">
                  <c:v>Fife</c:v>
                </c:pt>
                <c:pt idx="12">
                  <c:v>East Ayrshire</c:v>
                </c:pt>
                <c:pt idx="13">
                  <c:v>Aberdeenshire</c:v>
                </c:pt>
                <c:pt idx="14">
                  <c:v>Falkirk</c:v>
                </c:pt>
                <c:pt idx="15">
                  <c:v>South Lanarkshire</c:v>
                </c:pt>
                <c:pt idx="16">
                  <c:v>East Lothian</c:v>
                </c:pt>
                <c:pt idx="17">
                  <c:v>East Dunbartonshire</c:v>
                </c:pt>
                <c:pt idx="18">
                  <c:v>Eilean Siar</c:v>
                </c:pt>
                <c:pt idx="19">
                  <c:v>Angus</c:v>
                </c:pt>
                <c:pt idx="20">
                  <c:v>Midlothian</c:v>
                </c:pt>
                <c:pt idx="21">
                  <c:v>Stirling</c:v>
                </c:pt>
                <c:pt idx="22">
                  <c:v>Moray</c:v>
                </c:pt>
                <c:pt idx="23">
                  <c:v>Dumfries &amp; Galloway</c:v>
                </c:pt>
                <c:pt idx="24">
                  <c:v>West Lothian</c:v>
                </c:pt>
                <c:pt idx="25">
                  <c:v>Scottish Borders</c:v>
                </c:pt>
                <c:pt idx="26">
                  <c:v>Perth &amp; Kinross</c:v>
                </c:pt>
                <c:pt idx="27">
                  <c:v>Argyll &amp; Bute</c:v>
                </c:pt>
                <c:pt idx="28">
                  <c:v>Shetland Islands</c:v>
                </c:pt>
                <c:pt idx="29">
                  <c:v>North Lanarkshire</c:v>
                </c:pt>
                <c:pt idx="30">
                  <c:v>Clackmannanshire</c:v>
                </c:pt>
                <c:pt idx="31">
                  <c:v>Orkney Islands</c:v>
                </c:pt>
              </c:strCache>
            </c:strRef>
          </c:cat>
          <c:val>
            <c:numRef>
              <c:f>'Statistics - Older People'!$C$64:$C$95</c:f>
              <c:numCache>
                <c:formatCode>0.0</c:formatCode>
                <c:ptCount val="32"/>
                <c:pt idx="0">
                  <c:v>0</c:v>
                </c:pt>
                <c:pt idx="1">
                  <c:v>0</c:v>
                </c:pt>
                <c:pt idx="2">
                  <c:v>0</c:v>
                </c:pt>
                <c:pt idx="3">
                  <c:v>39.403403286535706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3091200"/>
        <c:axId val="313092736"/>
      </c:barChart>
      <c:lineChart>
        <c:grouping val="standard"/>
        <c:varyColors val="0"/>
        <c:ser>
          <c:idx val="2"/>
          <c:order val="2"/>
          <c:tx>
            <c:strRef>
              <c:f>'Statistics - Older People'!$D$310</c:f>
              <c:strCache>
                <c:ptCount val="1"/>
                <c:pt idx="0">
                  <c:v>Scottish rate</c:v>
                </c:pt>
              </c:strCache>
            </c:strRef>
          </c:tx>
          <c:spPr>
            <a:ln w="25400">
              <a:solidFill>
                <a:srgbClr val="FF0000"/>
              </a:solidFill>
              <a:prstDash val="solid"/>
            </a:ln>
          </c:spPr>
          <c:marker>
            <c:symbol val="none"/>
          </c:marker>
          <c:cat>
            <c:strRef>
              <c:f>'Statistics - Older People'!$A$64:$A$96</c:f>
              <c:strCache>
                <c:ptCount val="32"/>
                <c:pt idx="0">
                  <c:v>Inverclyde</c:v>
                </c:pt>
                <c:pt idx="1">
                  <c:v>Glasgow City</c:v>
                </c:pt>
                <c:pt idx="2">
                  <c:v>Dundee City</c:v>
                </c:pt>
                <c:pt idx="3">
                  <c:v>Aberdeen City</c:v>
                </c:pt>
                <c:pt idx="4">
                  <c:v>Edinburgh</c:v>
                </c:pt>
                <c:pt idx="5">
                  <c:v>West Dunbartonshire</c:v>
                </c:pt>
                <c:pt idx="6">
                  <c:v>South Ayrshire</c:v>
                </c:pt>
                <c:pt idx="7">
                  <c:v>Highland</c:v>
                </c:pt>
                <c:pt idx="8">
                  <c:v>North Ayrshire</c:v>
                </c:pt>
                <c:pt idx="9">
                  <c:v>East Renfrewshire</c:v>
                </c:pt>
                <c:pt idx="10">
                  <c:v>Renfrewshire</c:v>
                </c:pt>
                <c:pt idx="11">
                  <c:v>Fife</c:v>
                </c:pt>
                <c:pt idx="12">
                  <c:v>East Ayrshire</c:v>
                </c:pt>
                <c:pt idx="13">
                  <c:v>Aberdeenshire</c:v>
                </c:pt>
                <c:pt idx="14">
                  <c:v>Falkirk</c:v>
                </c:pt>
                <c:pt idx="15">
                  <c:v>South Lanarkshire</c:v>
                </c:pt>
                <c:pt idx="16">
                  <c:v>East Lothian</c:v>
                </c:pt>
                <c:pt idx="17">
                  <c:v>East Dunbartonshire</c:v>
                </c:pt>
                <c:pt idx="18">
                  <c:v>Eilean Siar</c:v>
                </c:pt>
                <c:pt idx="19">
                  <c:v>Angus</c:v>
                </c:pt>
                <c:pt idx="20">
                  <c:v>Midlothian</c:v>
                </c:pt>
                <c:pt idx="21">
                  <c:v>Stirling</c:v>
                </c:pt>
                <c:pt idx="22">
                  <c:v>Moray</c:v>
                </c:pt>
                <c:pt idx="23">
                  <c:v>Dumfries &amp; Galloway</c:v>
                </c:pt>
                <c:pt idx="24">
                  <c:v>West Lothian</c:v>
                </c:pt>
                <c:pt idx="25">
                  <c:v>Scottish Borders</c:v>
                </c:pt>
                <c:pt idx="26">
                  <c:v>Perth &amp; Kinross</c:v>
                </c:pt>
                <c:pt idx="27">
                  <c:v>Argyll &amp; Bute</c:v>
                </c:pt>
                <c:pt idx="28">
                  <c:v>Shetland Islands</c:v>
                </c:pt>
                <c:pt idx="29">
                  <c:v>North Lanarkshire</c:v>
                </c:pt>
                <c:pt idx="30">
                  <c:v>Clackmannanshire</c:v>
                </c:pt>
                <c:pt idx="31">
                  <c:v>Orkney Islands</c:v>
                </c:pt>
              </c:strCache>
            </c:strRef>
          </c:cat>
          <c:val>
            <c:numRef>
              <c:f>'Statistics - Older People'!$D$64:$D$96</c:f>
              <c:numCache>
                <c:formatCode>0.0</c:formatCode>
                <c:ptCount val="33"/>
                <c:pt idx="0">
                  <c:v>31.24777336380318</c:v>
                </c:pt>
                <c:pt idx="1">
                  <c:v>31.24777336380318</c:v>
                </c:pt>
                <c:pt idx="2">
                  <c:v>31.24777336380318</c:v>
                </c:pt>
                <c:pt idx="3">
                  <c:v>31.24777336380318</c:v>
                </c:pt>
                <c:pt idx="4">
                  <c:v>31.24777336380318</c:v>
                </c:pt>
                <c:pt idx="5">
                  <c:v>31.24777336380318</c:v>
                </c:pt>
                <c:pt idx="6">
                  <c:v>31.24777336380318</c:v>
                </c:pt>
                <c:pt idx="7">
                  <c:v>31.24777336380318</c:v>
                </c:pt>
                <c:pt idx="8">
                  <c:v>31.24777336380318</c:v>
                </c:pt>
                <c:pt idx="9">
                  <c:v>31.24777336380318</c:v>
                </c:pt>
                <c:pt idx="10">
                  <c:v>31.24777336380318</c:v>
                </c:pt>
                <c:pt idx="11">
                  <c:v>31.24777336380318</c:v>
                </c:pt>
                <c:pt idx="12">
                  <c:v>31.24777336380318</c:v>
                </c:pt>
                <c:pt idx="13">
                  <c:v>31.24777336380318</c:v>
                </c:pt>
                <c:pt idx="14">
                  <c:v>31.24777336380318</c:v>
                </c:pt>
                <c:pt idx="15">
                  <c:v>31.24777336380318</c:v>
                </c:pt>
                <c:pt idx="16">
                  <c:v>31.24777336380318</c:v>
                </c:pt>
                <c:pt idx="17">
                  <c:v>31.24777336380318</c:v>
                </c:pt>
                <c:pt idx="18">
                  <c:v>31.24777336380318</c:v>
                </c:pt>
                <c:pt idx="19">
                  <c:v>31.24777336380318</c:v>
                </c:pt>
                <c:pt idx="20">
                  <c:v>31.24777336380318</c:v>
                </c:pt>
                <c:pt idx="21">
                  <c:v>31.24777336380318</c:v>
                </c:pt>
                <c:pt idx="22">
                  <c:v>31.24777336380318</c:v>
                </c:pt>
                <c:pt idx="23">
                  <c:v>31.24777336380318</c:v>
                </c:pt>
                <c:pt idx="24">
                  <c:v>31.24777336380318</c:v>
                </c:pt>
                <c:pt idx="25">
                  <c:v>31.24777336380318</c:v>
                </c:pt>
                <c:pt idx="26">
                  <c:v>31.24777336380318</c:v>
                </c:pt>
                <c:pt idx="27">
                  <c:v>31.24777336380318</c:v>
                </c:pt>
                <c:pt idx="28">
                  <c:v>31.24777336380318</c:v>
                </c:pt>
                <c:pt idx="29">
                  <c:v>31.24777336380318</c:v>
                </c:pt>
                <c:pt idx="30">
                  <c:v>31.24777336380318</c:v>
                </c:pt>
                <c:pt idx="31">
                  <c:v>31.24777336380318</c:v>
                </c:pt>
              </c:numCache>
            </c:numRef>
          </c:val>
          <c:smooth val="0"/>
        </c:ser>
        <c:dLbls>
          <c:showLegendKey val="0"/>
          <c:showVal val="0"/>
          <c:showCatName val="0"/>
          <c:showSerName val="0"/>
          <c:showPercent val="0"/>
          <c:showBubbleSize val="0"/>
        </c:dLbls>
        <c:marker val="1"/>
        <c:smooth val="0"/>
        <c:axId val="313091200"/>
        <c:axId val="313092736"/>
      </c:lineChart>
      <c:catAx>
        <c:axId val="3130912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3092736"/>
        <c:crosses val="autoZero"/>
        <c:auto val="0"/>
        <c:lblAlgn val="ctr"/>
        <c:lblOffset val="100"/>
        <c:tickLblSkip val="1"/>
        <c:tickMarkSkip val="1"/>
        <c:noMultiLvlLbl val="0"/>
      </c:catAx>
      <c:valAx>
        <c:axId val="3130927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8.1699476772296217E-3"/>
              <c:y val="0.13719532618873587"/>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09120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Total home care hours (all care groups), 2015
(rate per 1,000 population aged 65+)</a:t>
            </a:r>
          </a:p>
        </c:rich>
      </c:tx>
      <c:layout>
        <c:manualLayout>
          <c:xMode val="edge"/>
          <c:yMode val="edge"/>
          <c:x val="0.27138157894736842"/>
          <c:y val="3.5369774919614148E-2"/>
        </c:manualLayout>
      </c:layout>
      <c:overlay val="0"/>
      <c:spPr>
        <a:noFill/>
        <a:ln w="25400">
          <a:noFill/>
        </a:ln>
      </c:spPr>
    </c:title>
    <c:autoTitleDeleted val="0"/>
    <c:plotArea>
      <c:layout>
        <c:manualLayout>
          <c:layoutTarget val="inner"/>
          <c:xMode val="edge"/>
          <c:yMode val="edge"/>
          <c:x val="0.11348684210526316"/>
          <c:y val="0.18006430868167203"/>
          <c:w val="0.85361842105263153"/>
          <c:h val="0.50160771704180063"/>
        </c:manualLayout>
      </c:layout>
      <c:barChart>
        <c:barDir val="col"/>
        <c:grouping val="clustered"/>
        <c:varyColors val="0"/>
        <c:ser>
          <c:idx val="1"/>
          <c:order val="0"/>
          <c:tx>
            <c:strRef>
              <c:f>'Statistics - Older People'!$B$144</c:f>
              <c:strCache>
                <c:ptCount val="1"/>
                <c:pt idx="0">
                  <c:v>Rate per 1,000 (2014/15)</c:v>
                </c:pt>
              </c:strCache>
            </c:strRef>
          </c:tx>
          <c:spPr>
            <a:solidFill>
              <a:srgbClr val="0000FF"/>
            </a:solidFill>
            <a:ln w="12700">
              <a:solidFill>
                <a:srgbClr val="000000"/>
              </a:solidFill>
              <a:prstDash val="solid"/>
            </a:ln>
          </c:spPr>
          <c:invertIfNegative val="0"/>
          <c:cat>
            <c:strRef>
              <c:f>'Statistics - Older People'!$A$145:$A$176</c:f>
              <c:strCache>
                <c:ptCount val="32"/>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Eilean Siar</c:v>
                </c:pt>
                <c:pt idx="15">
                  <c:v>South Ayrshire</c:v>
                </c:pt>
                <c:pt idx="16">
                  <c:v>West Lothian</c:v>
                </c:pt>
                <c:pt idx="17">
                  <c:v>Angus</c:v>
                </c:pt>
                <c:pt idx="18">
                  <c:v>West Dunbartonshire</c:v>
                </c:pt>
                <c:pt idx="19">
                  <c:v>Midlothian</c:v>
                </c:pt>
                <c:pt idx="20">
                  <c:v>Moray</c:v>
                </c:pt>
                <c:pt idx="21">
                  <c:v>Dundee City</c:v>
                </c:pt>
                <c:pt idx="22">
                  <c:v>Shetland Islands</c:v>
                </c:pt>
                <c:pt idx="23">
                  <c:v>North Lanarkshire</c:v>
                </c:pt>
                <c:pt idx="24">
                  <c:v>Argyll &amp; Bute</c:v>
                </c:pt>
                <c:pt idx="25">
                  <c:v>Orkney Islands</c:v>
                </c:pt>
                <c:pt idx="26">
                  <c:v>Aberdeen City</c:v>
                </c:pt>
                <c:pt idx="27">
                  <c:v>Aberdeenshire</c:v>
                </c:pt>
                <c:pt idx="28">
                  <c:v>East Renfrewshire</c:v>
                </c:pt>
                <c:pt idx="29">
                  <c:v>Perth &amp; Kinross</c:v>
                </c:pt>
                <c:pt idx="30">
                  <c:v>Scottish Borders</c:v>
                </c:pt>
                <c:pt idx="31">
                  <c:v>Highland</c:v>
                </c:pt>
              </c:strCache>
            </c:strRef>
          </c:cat>
          <c:val>
            <c:numRef>
              <c:f>'Statistics - Older People'!$B$145:$B$176</c:f>
              <c:numCache>
                <c:formatCode>0.0</c:formatCode>
                <c:ptCount val="32"/>
                <c:pt idx="0">
                  <c:v>1122.7015558698727</c:v>
                </c:pt>
                <c:pt idx="1">
                  <c:v>1119.9336335624555</c:v>
                </c:pt>
                <c:pt idx="2">
                  <c:v>1102.7903159622488</c:v>
                </c:pt>
                <c:pt idx="3">
                  <c:v>1096.0436180623515</c:v>
                </c:pt>
                <c:pt idx="4">
                  <c:v>1089.7294573399263</c:v>
                </c:pt>
                <c:pt idx="5">
                  <c:v>1064.3043783060352</c:v>
                </c:pt>
                <c:pt idx="6">
                  <c:v>986.32958040347387</c:v>
                </c:pt>
                <c:pt idx="7">
                  <c:v>902.07090207090209</c:v>
                </c:pt>
                <c:pt idx="8">
                  <c:v>896.6516227119821</c:v>
                </c:pt>
                <c:pt idx="9">
                  <c:v>814.66395112016301</c:v>
                </c:pt>
                <c:pt idx="10">
                  <c:v>776.080969922392</c:v>
                </c:pt>
                <c:pt idx="11">
                  <c:v>771.3854772678302</c:v>
                </c:pt>
                <c:pt idx="12">
                  <c:v>762.70351659794835</c:v>
                </c:pt>
                <c:pt idx="13">
                  <c:v>739.48062769059857</c:v>
                </c:pt>
                <c:pt idx="14">
                  <c:v>698.10735339745577</c:v>
                </c:pt>
                <c:pt idx="15">
                  <c:v>697.60388231725813</c:v>
                </c:pt>
                <c:pt idx="16">
                  <c:v>692.95982307408781</c:v>
                </c:pt>
                <c:pt idx="17">
                  <c:v>674.91124722038001</c:v>
                </c:pt>
                <c:pt idx="18">
                  <c:v>667.04783685915754</c:v>
                </c:pt>
                <c:pt idx="19">
                  <c:v>653.30173573304296</c:v>
                </c:pt>
                <c:pt idx="20">
                  <c:v>642.10526315789468</c:v>
                </c:pt>
                <c:pt idx="21">
                  <c:v>620.25120173670336</c:v>
                </c:pt>
                <c:pt idx="22">
                  <c:v>614.36672967863888</c:v>
                </c:pt>
                <c:pt idx="23">
                  <c:v>584.02686523580087</c:v>
                </c:pt>
                <c:pt idx="24">
                  <c:v>577.87040545661239</c:v>
                </c:pt>
                <c:pt idx="25">
                  <c:v>529.99788000847991</c:v>
                </c:pt>
                <c:pt idx="26">
                  <c:v>522.45993987332542</c:v>
                </c:pt>
                <c:pt idx="27">
                  <c:v>393.11610028828517</c:v>
                </c:pt>
                <c:pt idx="28">
                  <c:v>344.84708010628071</c:v>
                </c:pt>
                <c:pt idx="29">
                  <c:v>325.9933571164965</c:v>
                </c:pt>
                <c:pt idx="30">
                  <c:v>319.01560897801073</c:v>
                </c:pt>
                <c:pt idx="31">
                  <c:v>289.49286681245445</c:v>
                </c:pt>
              </c:numCache>
            </c:numRef>
          </c:val>
        </c:ser>
        <c:ser>
          <c:idx val="0"/>
          <c:order val="1"/>
          <c:tx>
            <c:strRef>
              <c:f>'Statistics - Older People'!$C$144</c:f>
              <c:strCache>
                <c:ptCount val="1"/>
              </c:strCache>
            </c:strRef>
          </c:tx>
          <c:spPr>
            <a:solidFill>
              <a:srgbClr val="FFFF00"/>
            </a:solidFill>
            <a:ln w="12700">
              <a:solidFill>
                <a:srgbClr val="000000"/>
              </a:solidFill>
              <a:prstDash val="solid"/>
            </a:ln>
          </c:spPr>
          <c:invertIfNegative val="0"/>
          <c:cat>
            <c:strRef>
              <c:f>'Statistics - Older People'!$A$145:$A$176</c:f>
              <c:strCache>
                <c:ptCount val="32"/>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Eilean Siar</c:v>
                </c:pt>
                <c:pt idx="15">
                  <c:v>South Ayrshire</c:v>
                </c:pt>
                <c:pt idx="16">
                  <c:v>West Lothian</c:v>
                </c:pt>
                <c:pt idx="17">
                  <c:v>Angus</c:v>
                </c:pt>
                <c:pt idx="18">
                  <c:v>West Dunbartonshire</c:v>
                </c:pt>
                <c:pt idx="19">
                  <c:v>Midlothian</c:v>
                </c:pt>
                <c:pt idx="20">
                  <c:v>Moray</c:v>
                </c:pt>
                <c:pt idx="21">
                  <c:v>Dundee City</c:v>
                </c:pt>
                <c:pt idx="22">
                  <c:v>Shetland Islands</c:v>
                </c:pt>
                <c:pt idx="23">
                  <c:v>North Lanarkshire</c:v>
                </c:pt>
                <c:pt idx="24">
                  <c:v>Argyll &amp; Bute</c:v>
                </c:pt>
                <c:pt idx="25">
                  <c:v>Orkney Islands</c:v>
                </c:pt>
                <c:pt idx="26">
                  <c:v>Aberdeen City</c:v>
                </c:pt>
                <c:pt idx="27">
                  <c:v>Aberdeenshire</c:v>
                </c:pt>
                <c:pt idx="28">
                  <c:v>East Renfrewshire</c:v>
                </c:pt>
                <c:pt idx="29">
                  <c:v>Perth &amp; Kinross</c:v>
                </c:pt>
                <c:pt idx="30">
                  <c:v>Scottish Borders</c:v>
                </c:pt>
                <c:pt idx="31">
                  <c:v>Highland</c:v>
                </c:pt>
              </c:strCache>
            </c:strRef>
          </c:cat>
          <c:val>
            <c:numRef>
              <c:f>'Statistics - Older People'!$C$145:$C$176</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522.45993987332542</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3124352"/>
        <c:axId val="313125888"/>
      </c:barChart>
      <c:lineChart>
        <c:grouping val="standard"/>
        <c:varyColors val="0"/>
        <c:ser>
          <c:idx val="2"/>
          <c:order val="2"/>
          <c:tx>
            <c:strRef>
              <c:f>'Statistics - Older People'!$D$310</c:f>
              <c:strCache>
                <c:ptCount val="1"/>
                <c:pt idx="0">
                  <c:v>Scottish rate</c:v>
                </c:pt>
              </c:strCache>
            </c:strRef>
          </c:tx>
          <c:spPr>
            <a:ln w="25400">
              <a:solidFill>
                <a:srgbClr val="FF0000"/>
              </a:solidFill>
              <a:prstDash val="solid"/>
            </a:ln>
          </c:spPr>
          <c:marker>
            <c:symbol val="none"/>
          </c:marker>
          <c:cat>
            <c:strRef>
              <c:f>'Statistics - Older People'!$A$145:$A$176</c:f>
              <c:strCache>
                <c:ptCount val="32"/>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Eilean Siar</c:v>
                </c:pt>
                <c:pt idx="15">
                  <c:v>South Ayrshire</c:v>
                </c:pt>
                <c:pt idx="16">
                  <c:v>West Lothian</c:v>
                </c:pt>
                <c:pt idx="17">
                  <c:v>Angus</c:v>
                </c:pt>
                <c:pt idx="18">
                  <c:v>West Dunbartonshire</c:v>
                </c:pt>
                <c:pt idx="19">
                  <c:v>Midlothian</c:v>
                </c:pt>
                <c:pt idx="20">
                  <c:v>Moray</c:v>
                </c:pt>
                <c:pt idx="21">
                  <c:v>Dundee City</c:v>
                </c:pt>
                <c:pt idx="22">
                  <c:v>Shetland Islands</c:v>
                </c:pt>
                <c:pt idx="23">
                  <c:v>North Lanarkshire</c:v>
                </c:pt>
                <c:pt idx="24">
                  <c:v>Argyll &amp; Bute</c:v>
                </c:pt>
                <c:pt idx="25">
                  <c:v>Orkney Islands</c:v>
                </c:pt>
                <c:pt idx="26">
                  <c:v>Aberdeen City</c:v>
                </c:pt>
                <c:pt idx="27">
                  <c:v>Aberdeenshire</c:v>
                </c:pt>
                <c:pt idx="28">
                  <c:v>East Renfrewshire</c:v>
                </c:pt>
                <c:pt idx="29">
                  <c:v>Perth &amp; Kinross</c:v>
                </c:pt>
                <c:pt idx="30">
                  <c:v>Scottish Borders</c:v>
                </c:pt>
                <c:pt idx="31">
                  <c:v>Highland</c:v>
                </c:pt>
              </c:strCache>
            </c:strRef>
          </c:cat>
          <c:val>
            <c:numRef>
              <c:f>'Statistics - Older People'!$D$145:$D$176</c:f>
              <c:numCache>
                <c:formatCode>0</c:formatCode>
                <c:ptCount val="32"/>
                <c:pt idx="0">
                  <c:v>729.04586896381522</c:v>
                </c:pt>
                <c:pt idx="1">
                  <c:v>729.04586896381522</c:v>
                </c:pt>
                <c:pt idx="2">
                  <c:v>729.04586896381522</c:v>
                </c:pt>
                <c:pt idx="3">
                  <c:v>729.04586896381522</c:v>
                </c:pt>
                <c:pt idx="4">
                  <c:v>729.04586896381522</c:v>
                </c:pt>
                <c:pt idx="5">
                  <c:v>729.04586896381522</c:v>
                </c:pt>
                <c:pt idx="6">
                  <c:v>729.04586896381522</c:v>
                </c:pt>
                <c:pt idx="7">
                  <c:v>729.04586896381522</c:v>
                </c:pt>
                <c:pt idx="8">
                  <c:v>729.04586896381522</c:v>
                </c:pt>
                <c:pt idx="9">
                  <c:v>729.04586896381522</c:v>
                </c:pt>
                <c:pt idx="10">
                  <c:v>729.04586896381522</c:v>
                </c:pt>
                <c:pt idx="11">
                  <c:v>729.04586896381522</c:v>
                </c:pt>
                <c:pt idx="12">
                  <c:v>729.04586896381522</c:v>
                </c:pt>
                <c:pt idx="13">
                  <c:v>729.04586896381522</c:v>
                </c:pt>
                <c:pt idx="14">
                  <c:v>729.04586896381522</c:v>
                </c:pt>
                <c:pt idx="15">
                  <c:v>729.04586896381522</c:v>
                </c:pt>
                <c:pt idx="16">
                  <c:v>729.04586896381522</c:v>
                </c:pt>
                <c:pt idx="17">
                  <c:v>729.04586896381522</c:v>
                </c:pt>
                <c:pt idx="18">
                  <c:v>729.04586896381522</c:v>
                </c:pt>
                <c:pt idx="19">
                  <c:v>729.04586896381522</c:v>
                </c:pt>
                <c:pt idx="20">
                  <c:v>729.04586896381522</c:v>
                </c:pt>
                <c:pt idx="21">
                  <c:v>729.04586896381522</c:v>
                </c:pt>
                <c:pt idx="22">
                  <c:v>729.04586896381522</c:v>
                </c:pt>
                <c:pt idx="23">
                  <c:v>729.04586896381522</c:v>
                </c:pt>
                <c:pt idx="24">
                  <c:v>729.04586896381522</c:v>
                </c:pt>
                <c:pt idx="25">
                  <c:v>729.04586896381522</c:v>
                </c:pt>
                <c:pt idx="26">
                  <c:v>729.04586896381522</c:v>
                </c:pt>
                <c:pt idx="27">
                  <c:v>729.04586896381522</c:v>
                </c:pt>
                <c:pt idx="28">
                  <c:v>729.04586896381522</c:v>
                </c:pt>
                <c:pt idx="29">
                  <c:v>729.04586896381522</c:v>
                </c:pt>
                <c:pt idx="30">
                  <c:v>729.04586896381522</c:v>
                </c:pt>
                <c:pt idx="31">
                  <c:v>729.04586896381522</c:v>
                </c:pt>
              </c:numCache>
            </c:numRef>
          </c:val>
          <c:smooth val="0"/>
        </c:ser>
        <c:dLbls>
          <c:showLegendKey val="0"/>
          <c:showVal val="0"/>
          <c:showCatName val="0"/>
          <c:showSerName val="0"/>
          <c:showPercent val="0"/>
          <c:showBubbleSize val="0"/>
        </c:dLbls>
        <c:marker val="1"/>
        <c:smooth val="0"/>
        <c:axId val="313136256"/>
        <c:axId val="313137792"/>
      </c:lineChart>
      <c:catAx>
        <c:axId val="3131243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3125888"/>
        <c:crosses val="autoZero"/>
        <c:auto val="0"/>
        <c:lblAlgn val="ctr"/>
        <c:lblOffset val="100"/>
        <c:tickLblSkip val="1"/>
        <c:tickMarkSkip val="1"/>
        <c:noMultiLvlLbl val="0"/>
      </c:catAx>
      <c:valAx>
        <c:axId val="31312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8.2236842105263153E-3"/>
              <c:y val="0.1125401929260450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124352"/>
        <c:crosses val="autoZero"/>
        <c:crossBetween val="between"/>
      </c:valAx>
      <c:catAx>
        <c:axId val="313136256"/>
        <c:scaling>
          <c:orientation val="minMax"/>
        </c:scaling>
        <c:delete val="1"/>
        <c:axPos val="b"/>
        <c:majorTickMark val="out"/>
        <c:minorTickMark val="none"/>
        <c:tickLblPos val="nextTo"/>
        <c:crossAx val="313137792"/>
        <c:crosses val="autoZero"/>
        <c:auto val="0"/>
        <c:lblAlgn val="ctr"/>
        <c:lblOffset val="100"/>
        <c:noMultiLvlLbl val="0"/>
      </c:catAx>
      <c:valAx>
        <c:axId val="313137792"/>
        <c:scaling>
          <c:orientation val="minMax"/>
        </c:scaling>
        <c:delete val="1"/>
        <c:axPos val="l"/>
        <c:numFmt formatCode="0" sourceLinked="1"/>
        <c:majorTickMark val="out"/>
        <c:minorTickMark val="none"/>
        <c:tickLblPos val="nextTo"/>
        <c:crossAx val="31313625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Movement: Learning disabilities social work expenditure (gross)</a:t>
            </a:r>
          </a:p>
        </c:rich>
      </c:tx>
      <c:layout>
        <c:manualLayout>
          <c:xMode val="edge"/>
          <c:yMode val="edge"/>
          <c:x val="0.17213128532537567"/>
          <c:y val="3.5714347995166006E-2"/>
        </c:manualLayout>
      </c:layout>
      <c:overlay val="0"/>
      <c:spPr>
        <a:noFill/>
        <a:ln w="25400">
          <a:noFill/>
        </a:ln>
      </c:spPr>
    </c:title>
    <c:autoTitleDeleted val="0"/>
    <c:plotArea>
      <c:layout>
        <c:manualLayout>
          <c:layoutTarget val="inner"/>
          <c:xMode val="edge"/>
          <c:yMode val="edge"/>
          <c:x val="0.10491811676975279"/>
          <c:y val="0.16071456597824704"/>
          <c:w val="0.83934493415802236"/>
          <c:h val="0.6392937183661539"/>
        </c:manualLayout>
      </c:layout>
      <c:lineChart>
        <c:grouping val="standard"/>
        <c:varyColors val="0"/>
        <c:ser>
          <c:idx val="0"/>
          <c:order val="0"/>
          <c:tx>
            <c:strRef>
              <c:f>Cover!$M$785:$N$785</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Cover!$O$784:$X$784</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Cover!$O$785:$X$785</c:f>
              <c:numCache>
                <c:formatCode>0%</c:formatCode>
                <c:ptCount val="10"/>
                <c:pt idx="0">
                  <c:v>0</c:v>
                </c:pt>
                <c:pt idx="1">
                  <c:v>0.10396853320792654</c:v>
                </c:pt>
                <c:pt idx="2">
                  <c:v>7.0807812728529651E-2</c:v>
                </c:pt>
                <c:pt idx="3">
                  <c:v>6.2685064412338898E-2</c:v>
                </c:pt>
                <c:pt idx="4">
                  <c:v>6.6265222662380774E-2</c:v>
                </c:pt>
                <c:pt idx="5">
                  <c:v>0.12932990347314854</c:v>
                </c:pt>
                <c:pt idx="6">
                  <c:v>0.13472428299805483</c:v>
                </c:pt>
                <c:pt idx="7">
                  <c:v>9.0622694400555259E-2</c:v>
                </c:pt>
                <c:pt idx="8">
                  <c:v>6.2935354148992984E-2</c:v>
                </c:pt>
                <c:pt idx="9">
                  <c:v>8.8533636132315463E-2</c:v>
                </c:pt>
              </c:numCache>
            </c:numRef>
          </c:val>
          <c:smooth val="0"/>
        </c:ser>
        <c:ser>
          <c:idx val="1"/>
          <c:order val="1"/>
          <c:tx>
            <c:strRef>
              <c:f>Cover!$M$786:$N$786</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Cover!$O$784:$X$784</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Cover!$O$786:$X$786</c:f>
              <c:numCache>
                <c:formatCode>0%</c:formatCode>
                <c:ptCount val="10"/>
                <c:pt idx="0">
                  <c:v>0</c:v>
                </c:pt>
                <c:pt idx="1">
                  <c:v>2.9874825328070287E-2</c:v>
                </c:pt>
                <c:pt idx="2">
                  <c:v>6.8520887472616643E-2</c:v>
                </c:pt>
                <c:pt idx="3">
                  <c:v>0.1594983482338328</c:v>
                </c:pt>
                <c:pt idx="4">
                  <c:v>0.19764637898894688</c:v>
                </c:pt>
                <c:pt idx="5">
                  <c:v>0.20362620908118667</c:v>
                </c:pt>
                <c:pt idx="6">
                  <c:v>0.20822374562103496</c:v>
                </c:pt>
                <c:pt idx="7">
                  <c:v>0.23879874860760464</c:v>
                </c:pt>
                <c:pt idx="8">
                  <c:v>0.19995016222090012</c:v>
                </c:pt>
                <c:pt idx="9">
                  <c:v>0.19751489042816894</c:v>
                </c:pt>
              </c:numCache>
            </c:numRef>
          </c:val>
          <c:smooth val="0"/>
        </c:ser>
        <c:dLbls>
          <c:showLegendKey val="0"/>
          <c:showVal val="0"/>
          <c:showCatName val="0"/>
          <c:showSerName val="0"/>
          <c:showPercent val="0"/>
          <c:showBubbleSize val="0"/>
        </c:dLbls>
        <c:marker val="1"/>
        <c:smooth val="0"/>
        <c:axId val="295794944"/>
        <c:axId val="295797120"/>
      </c:lineChart>
      <c:catAx>
        <c:axId val="29579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95797120"/>
        <c:crosses val="autoZero"/>
        <c:auto val="1"/>
        <c:lblAlgn val="ctr"/>
        <c:lblOffset val="100"/>
        <c:tickLblSkip val="1"/>
        <c:tickMarkSkip val="1"/>
        <c:noMultiLvlLbl val="0"/>
      </c:catAx>
      <c:valAx>
        <c:axId val="29579712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9.8360734471643237E-3"/>
              <c:y val="0.317857697156977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95794944"/>
        <c:crosses val="autoZero"/>
        <c:crossBetween val="between"/>
      </c:valAx>
      <c:spPr>
        <a:noFill/>
        <a:ln w="25400">
          <a:noFill/>
        </a:ln>
      </c:spPr>
    </c:plotArea>
    <c:legend>
      <c:legendPos val="b"/>
      <c:layout>
        <c:manualLayout>
          <c:xMode val="edge"/>
          <c:yMode val="edge"/>
          <c:x val="0.29856295305662689"/>
          <c:y val="0.90265499090857282"/>
          <c:w val="0.4574370586293362"/>
          <c:h val="6.93261312805767E-2"/>
        </c:manualLayout>
      </c:layout>
      <c:overlay val="0"/>
      <c:spPr>
        <a:ln>
          <a:solidFill>
            <a:schemeClr val="tx1"/>
          </a:solid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Older people receiving intensive home care (10+ hours per week)
(rate per 1,000 population aged 65+)</a:t>
            </a:r>
          </a:p>
        </c:rich>
      </c:tx>
      <c:layout>
        <c:manualLayout>
          <c:xMode val="edge"/>
          <c:yMode val="edge"/>
          <c:x val="0.17656794130302009"/>
          <c:y val="2.1505451617984214E-2"/>
        </c:manualLayout>
      </c:layout>
      <c:overlay val="0"/>
      <c:spPr>
        <a:noFill/>
        <a:ln w="25400">
          <a:noFill/>
        </a:ln>
      </c:spPr>
    </c:title>
    <c:autoTitleDeleted val="0"/>
    <c:plotArea>
      <c:layout>
        <c:manualLayout>
          <c:layoutTarget val="inner"/>
          <c:xMode val="edge"/>
          <c:yMode val="edge"/>
          <c:x val="0.11386156962531202"/>
          <c:y val="0.21863875811617284"/>
          <c:w val="0.85808719137916312"/>
          <c:h val="0.56989446787658171"/>
        </c:manualLayout>
      </c:layout>
      <c:lineChart>
        <c:grouping val="standard"/>
        <c:varyColors val="0"/>
        <c:ser>
          <c:idx val="0"/>
          <c:order val="0"/>
          <c:tx>
            <c:strRef>
              <c:f>Cover!$N$676</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Cover!$O$675:$X$675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Cover!$O$676:$X$676</c:f>
              <c:numCache>
                <c:formatCode>0.0</c:formatCode>
                <c:ptCount val="10"/>
                <c:pt idx="0">
                  <c:v>18.058480981291044</c:v>
                </c:pt>
                <c:pt idx="1">
                  <c:v>19.894638983576076</c:v>
                </c:pt>
                <c:pt idx="2">
                  <c:v>15.56142258114614</c:v>
                </c:pt>
                <c:pt idx="3">
                  <c:v>14.53732177802628</c:v>
                </c:pt>
                <c:pt idx="4">
                  <c:v>16.196854072574368</c:v>
                </c:pt>
                <c:pt idx="5">
                  <c:v>16.651679121833233</c:v>
                </c:pt>
                <c:pt idx="6">
                  <c:v>17.306880540312367</c:v>
                </c:pt>
                <c:pt idx="7">
                  <c:v>13.73357458547148</c:v>
                </c:pt>
                <c:pt idx="8">
                  <c:v>13.3</c:v>
                </c:pt>
                <c:pt idx="9">
                  <c:v>13.163655468316744</c:v>
                </c:pt>
              </c:numCache>
            </c:numRef>
          </c:val>
          <c:smooth val="0"/>
        </c:ser>
        <c:ser>
          <c:idx val="1"/>
          <c:order val="1"/>
          <c:tx>
            <c:strRef>
              <c:f>Cover!$N$677</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Cover!$O$675:$X$675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Cover!$O$677:$X$677</c:f>
              <c:numCache>
                <c:formatCode>0.0</c:formatCode>
                <c:ptCount val="10"/>
                <c:pt idx="0">
                  <c:v>16.804937658717279</c:v>
                </c:pt>
                <c:pt idx="1">
                  <c:v>17.299875947980933</c:v>
                </c:pt>
                <c:pt idx="2">
                  <c:v>17.899860252199829</c:v>
                </c:pt>
                <c:pt idx="3">
                  <c:v>17.527679525441215</c:v>
                </c:pt>
                <c:pt idx="4">
                  <c:v>17.893283850222627</c:v>
                </c:pt>
                <c:pt idx="5">
                  <c:v>17.354556854135151</c:v>
                </c:pt>
                <c:pt idx="6">
                  <c:v>17.254099644504841</c:v>
                </c:pt>
                <c:pt idx="7">
                  <c:v>17.231655721741923</c:v>
                </c:pt>
                <c:pt idx="8">
                  <c:v>17.399999999999999</c:v>
                </c:pt>
                <c:pt idx="9">
                  <c:v>17.355628781409123</c:v>
                </c:pt>
              </c:numCache>
            </c:numRef>
          </c:val>
          <c:smooth val="0"/>
        </c:ser>
        <c:ser>
          <c:idx val="2"/>
          <c:order val="2"/>
          <c:tx>
            <c:strRef>
              <c:f>Cover!$N$678</c:f>
              <c:strCache>
                <c:ptCount val="1"/>
                <c:pt idx="0">
                  <c:v>Min</c:v>
                </c:pt>
              </c:strCache>
            </c:strRef>
          </c:tx>
          <c:spPr>
            <a:ln w="25400">
              <a:solidFill>
                <a:srgbClr val="000000"/>
              </a:solidFill>
              <a:prstDash val="sysDash"/>
            </a:ln>
          </c:spPr>
          <c:marker>
            <c:symbol val="none"/>
          </c:marker>
          <c:cat>
            <c:strRef>
              <c:f>Cover!$O$675:$X$675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Cover!$O$678:$X$678</c:f>
              <c:numCache>
                <c:formatCode>0.0</c:formatCode>
                <c:ptCount val="10"/>
                <c:pt idx="0">
                  <c:v>4.2897768352050898</c:v>
                </c:pt>
                <c:pt idx="1">
                  <c:v>5.1727410782080483</c:v>
                </c:pt>
                <c:pt idx="2">
                  <c:v>4.1318477251624888</c:v>
                </c:pt>
                <c:pt idx="3">
                  <c:v>4.6013667425968112</c:v>
                </c:pt>
                <c:pt idx="4">
                  <c:v>4.7994976226787474</c:v>
                </c:pt>
                <c:pt idx="5">
                  <c:v>4.6916024620152372</c:v>
                </c:pt>
                <c:pt idx="6">
                  <c:v>4.7041346868036635</c:v>
                </c:pt>
                <c:pt idx="7">
                  <c:v>4.2467948717948714</c:v>
                </c:pt>
                <c:pt idx="8">
                  <c:v>8.4</c:v>
                </c:pt>
                <c:pt idx="9">
                  <c:v>8.1195558870298186</c:v>
                </c:pt>
              </c:numCache>
            </c:numRef>
          </c:val>
          <c:smooth val="0"/>
        </c:ser>
        <c:ser>
          <c:idx val="3"/>
          <c:order val="3"/>
          <c:tx>
            <c:strRef>
              <c:f>Cover!$N$679</c:f>
              <c:strCache>
                <c:ptCount val="1"/>
                <c:pt idx="0">
                  <c:v>Max</c:v>
                </c:pt>
              </c:strCache>
            </c:strRef>
          </c:tx>
          <c:spPr>
            <a:ln w="25400">
              <a:solidFill>
                <a:srgbClr val="000000"/>
              </a:solidFill>
              <a:prstDash val="sysDash"/>
            </a:ln>
          </c:spPr>
          <c:marker>
            <c:symbol val="none"/>
          </c:marker>
          <c:cat>
            <c:strRef>
              <c:f>Cover!$O$675:$X$675</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Cover!$O$679:$X$679</c:f>
              <c:numCache>
                <c:formatCode>0.0</c:formatCode>
                <c:ptCount val="10"/>
                <c:pt idx="0">
                  <c:v>31.561874770625906</c:v>
                </c:pt>
                <c:pt idx="1">
                  <c:v>32.767194369039323</c:v>
                </c:pt>
                <c:pt idx="2">
                  <c:v>33.264184590748627</c:v>
                </c:pt>
                <c:pt idx="3">
                  <c:v>32.743058962032762</c:v>
                </c:pt>
                <c:pt idx="4">
                  <c:v>34.329668698910503</c:v>
                </c:pt>
                <c:pt idx="5">
                  <c:v>35.03688092729189</c:v>
                </c:pt>
                <c:pt idx="6">
                  <c:v>31.268834832083702</c:v>
                </c:pt>
                <c:pt idx="7">
                  <c:v>30.71334214002642</c:v>
                </c:pt>
                <c:pt idx="8">
                  <c:v>26.9</c:v>
                </c:pt>
                <c:pt idx="9">
                  <c:v>31.340907186381433</c:v>
                </c:pt>
              </c:numCache>
            </c:numRef>
          </c:val>
          <c:smooth val="0"/>
        </c:ser>
        <c:dLbls>
          <c:showLegendKey val="0"/>
          <c:showVal val="0"/>
          <c:showCatName val="0"/>
          <c:showSerName val="0"/>
          <c:showPercent val="0"/>
          <c:showBubbleSize val="0"/>
        </c:dLbls>
        <c:marker val="1"/>
        <c:smooth val="0"/>
        <c:axId val="313159040"/>
        <c:axId val="313160832"/>
      </c:lineChart>
      <c:catAx>
        <c:axId val="31315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160832"/>
        <c:crosses val="autoZero"/>
        <c:auto val="1"/>
        <c:lblAlgn val="ctr"/>
        <c:lblOffset val="100"/>
        <c:tickLblSkip val="1"/>
        <c:tickMarkSkip val="1"/>
        <c:noMultiLvlLbl val="0"/>
      </c:catAx>
      <c:valAx>
        <c:axId val="3131608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3.3003353514583195E-2"/>
              <c:y val="0.143369677453228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159040"/>
        <c:crosses val="autoZero"/>
        <c:crossBetween val="between"/>
      </c:valAx>
      <c:spPr>
        <a:noFill/>
        <a:ln w="25400">
          <a:noFill/>
        </a:ln>
      </c:spPr>
    </c:plotArea>
    <c:legend>
      <c:legendPos val="r"/>
      <c:layout>
        <c:manualLayout>
          <c:xMode val="edge"/>
          <c:yMode val="edge"/>
          <c:x val="0.23762414530499901"/>
          <c:y val="0.88889200021001413"/>
          <c:w val="0.61716271072270579"/>
          <c:h val="8.602180647193685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Projected percentage change for older people
(2012 based estimates)</a:t>
            </a:r>
          </a:p>
        </c:rich>
      </c:tx>
      <c:layout>
        <c:manualLayout>
          <c:xMode val="edge"/>
          <c:yMode val="edge"/>
          <c:x val="0.27392783417104055"/>
          <c:y val="2.9126305642905678E-2"/>
        </c:manualLayout>
      </c:layout>
      <c:overlay val="0"/>
      <c:spPr>
        <a:noFill/>
        <a:ln w="25400">
          <a:noFill/>
        </a:ln>
      </c:spPr>
    </c:title>
    <c:autoTitleDeleted val="0"/>
    <c:plotArea>
      <c:layout>
        <c:manualLayout>
          <c:layoutTarget val="inner"/>
          <c:xMode val="edge"/>
          <c:yMode val="edge"/>
          <c:x val="0.10066022821947875"/>
          <c:y val="0.28155428788142156"/>
          <c:w val="0.86963836510926718"/>
          <c:h val="0.56958108812793329"/>
        </c:manualLayout>
      </c:layout>
      <c:barChart>
        <c:barDir val="col"/>
        <c:grouping val="clustered"/>
        <c:varyColors val="0"/>
        <c:ser>
          <c:idx val="0"/>
          <c:order val="0"/>
          <c:tx>
            <c:strRef>
              <c:f>Cover!$M$448</c:f>
              <c:strCache>
                <c:ptCount val="1"/>
                <c:pt idx="0">
                  <c:v>Aberdeen City</c:v>
                </c:pt>
              </c:strCache>
            </c:strRef>
          </c:tx>
          <c:spPr>
            <a:solidFill>
              <a:srgbClr val="0000FF"/>
            </a:solidFill>
            <a:ln w="12700">
              <a:solidFill>
                <a:srgbClr val="000000"/>
              </a:solidFill>
              <a:prstDash val="solid"/>
            </a:ln>
          </c:spPr>
          <c:invertIfNegative val="0"/>
          <c:dLbls>
            <c:dLbl>
              <c:idx val="0"/>
              <c:layout/>
              <c:dLblPos val="ctr"/>
              <c:showLegendKey val="0"/>
              <c:showVal val="1"/>
              <c:showCatName val="0"/>
              <c:showSerName val="0"/>
              <c:showPercent val="0"/>
              <c:showBubbleSize val="0"/>
            </c:dLbl>
            <c:spPr>
              <a:noFill/>
              <a:ln w="25400">
                <a:noFill/>
              </a:ln>
            </c:spPr>
            <c:txPr>
              <a:bodyPr rot="-5400000" vert="horz"/>
              <a:lstStyle/>
              <a:p>
                <a:pPr algn="ctr">
                  <a:defRPr sz="800" b="1"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Cover!$N$447:$S$447</c:f>
              <c:strCache>
                <c:ptCount val="6"/>
                <c:pt idx="0">
                  <c:v>65-74 (2017-2027)</c:v>
                </c:pt>
                <c:pt idx="1">
                  <c:v>65-74 (2017-2037)</c:v>
                </c:pt>
                <c:pt idx="2">
                  <c:v>75-84 (2017-2027)</c:v>
                </c:pt>
                <c:pt idx="3">
                  <c:v>75-84 (2017-2037)</c:v>
                </c:pt>
                <c:pt idx="4">
                  <c:v>85+ (2017-2027)</c:v>
                </c:pt>
                <c:pt idx="5">
                  <c:v>85+ (2017-2037)</c:v>
                </c:pt>
              </c:strCache>
            </c:strRef>
          </c:cat>
          <c:val>
            <c:numRef>
              <c:f>Cover!$N$448:$S$448</c:f>
              <c:numCache>
                <c:formatCode>0%</c:formatCode>
                <c:ptCount val="6"/>
                <c:pt idx="0">
                  <c:v>0.17218983328219289</c:v>
                </c:pt>
                <c:pt idx="1">
                  <c:v>0.23780300705737956</c:v>
                </c:pt>
                <c:pt idx="2">
                  <c:v>0.27600207325501036</c:v>
                </c:pt>
                <c:pt idx="3">
                  <c:v>0.55001727712508641</c:v>
                </c:pt>
                <c:pt idx="4">
                  <c:v>0.26695498329074113</c:v>
                </c:pt>
                <c:pt idx="5">
                  <c:v>0.84470218203263225</c:v>
                </c:pt>
              </c:numCache>
            </c:numRef>
          </c:val>
        </c:ser>
        <c:ser>
          <c:idx val="1"/>
          <c:order val="1"/>
          <c:tx>
            <c:strRef>
              <c:f>Cover!$M$449</c:f>
              <c:strCache>
                <c:ptCount val="1"/>
                <c:pt idx="0">
                  <c:v>Scotland</c:v>
                </c:pt>
              </c:strCache>
            </c:strRef>
          </c:tx>
          <c:spPr>
            <a:solidFill>
              <a:srgbClr val="FF0000"/>
            </a:solidFill>
            <a:ln w="12700">
              <a:solidFill>
                <a:srgbClr val="000000"/>
              </a:solidFill>
              <a:prstDash val="solid"/>
            </a:ln>
          </c:spPr>
          <c:invertIfNegative val="0"/>
          <c:dLbls>
            <c:spPr>
              <a:noFill/>
              <a:ln w="25400">
                <a:noFill/>
              </a:ln>
            </c:spPr>
            <c:txPr>
              <a:bodyPr rot="-5400000" vert="horz"/>
              <a:lstStyle/>
              <a:p>
                <a:pPr algn="ctr">
                  <a:defRPr sz="800" b="1"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Cover!$N$447:$S$447</c:f>
              <c:strCache>
                <c:ptCount val="6"/>
                <c:pt idx="0">
                  <c:v>65-74 (2017-2027)</c:v>
                </c:pt>
                <c:pt idx="1">
                  <c:v>65-74 (2017-2037)</c:v>
                </c:pt>
                <c:pt idx="2">
                  <c:v>75-84 (2017-2027)</c:v>
                </c:pt>
                <c:pt idx="3">
                  <c:v>75-84 (2017-2037)</c:v>
                </c:pt>
                <c:pt idx="4">
                  <c:v>85+ (2017-2027)</c:v>
                </c:pt>
                <c:pt idx="5">
                  <c:v>85+ (2017-2037)</c:v>
                </c:pt>
              </c:strCache>
            </c:strRef>
          </c:cat>
          <c:val>
            <c:numRef>
              <c:f>Cover!$N$449:$S$449</c:f>
              <c:numCache>
                <c:formatCode>0%</c:formatCode>
                <c:ptCount val="6"/>
                <c:pt idx="0">
                  <c:v>0.1256705782623577</c:v>
                </c:pt>
                <c:pt idx="1">
                  <c:v>0.23149115324386971</c:v>
                </c:pt>
                <c:pt idx="2">
                  <c:v>0.30710806646425082</c:v>
                </c:pt>
                <c:pt idx="3">
                  <c:v>0.52644069951535222</c:v>
                </c:pt>
                <c:pt idx="4">
                  <c:v>0.42870850421728701</c:v>
                </c:pt>
                <c:pt idx="5">
                  <c:v>1.1240965720034048</c:v>
                </c:pt>
              </c:numCache>
            </c:numRef>
          </c:val>
        </c:ser>
        <c:dLbls>
          <c:showLegendKey val="0"/>
          <c:showVal val="0"/>
          <c:showCatName val="0"/>
          <c:showSerName val="0"/>
          <c:showPercent val="0"/>
          <c:showBubbleSize val="0"/>
        </c:dLbls>
        <c:gapWidth val="150"/>
        <c:axId val="313202944"/>
        <c:axId val="313208832"/>
      </c:barChart>
      <c:catAx>
        <c:axId val="313202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313208832"/>
        <c:crosses val="autoZero"/>
        <c:auto val="1"/>
        <c:lblAlgn val="ctr"/>
        <c:lblOffset val="100"/>
        <c:tickLblSkip val="1"/>
        <c:tickMarkSkip val="1"/>
        <c:noMultiLvlLbl val="0"/>
      </c:catAx>
      <c:valAx>
        <c:axId val="3132088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8.2508383786457987E-3"/>
              <c:y val="0.3948232542704991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202944"/>
        <c:crosses val="autoZero"/>
        <c:crossBetween val="between"/>
        <c:majorUnit val="0.25"/>
        <c:minorUnit val="0.04"/>
      </c:valAx>
      <c:spPr>
        <a:noFill/>
        <a:ln w="25400">
          <a:noFill/>
        </a:ln>
      </c:spPr>
    </c:plotArea>
    <c:legend>
      <c:legendPos val="r"/>
      <c:layout>
        <c:manualLayout>
          <c:xMode val="edge"/>
          <c:yMode val="edge"/>
          <c:x val="0.28052850487395714"/>
          <c:y val="0.1974116271352496"/>
          <c:w val="0.40759141590510245"/>
          <c:h val="6.796137983344657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Older people receiving less than 10 hours per week
(rate per 1,000 population aged 65+)
</a:t>
            </a:r>
          </a:p>
        </c:rich>
      </c:tx>
      <c:layout>
        <c:manualLayout>
          <c:xMode val="edge"/>
          <c:yMode val="edge"/>
          <c:x val="0.25081987290269026"/>
          <c:y val="2.3569101066330842E-2"/>
        </c:manualLayout>
      </c:layout>
      <c:overlay val="0"/>
      <c:spPr>
        <a:noFill/>
        <a:ln w="25400">
          <a:noFill/>
        </a:ln>
      </c:spPr>
    </c:title>
    <c:autoTitleDeleted val="0"/>
    <c:plotArea>
      <c:layout>
        <c:manualLayout>
          <c:layoutTarget val="inner"/>
          <c:xMode val="edge"/>
          <c:yMode val="edge"/>
          <c:x val="0.11967222694049928"/>
          <c:y val="0.23232399622526115"/>
          <c:w val="0.82950886071085805"/>
          <c:h val="0.55555738227779838"/>
        </c:manualLayout>
      </c:layout>
      <c:lineChart>
        <c:grouping val="standard"/>
        <c:varyColors val="0"/>
        <c:ser>
          <c:idx val="0"/>
          <c:order val="0"/>
          <c:tx>
            <c:strRef>
              <c:f>Cover!$N$632</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Cover!$O$631:$X$631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Cover!$O$632:$X$632</c:f>
              <c:numCache>
                <c:formatCode>0.0</c:formatCode>
                <c:ptCount val="10"/>
                <c:pt idx="0">
                  <c:v>58.861658127044876</c:v>
                </c:pt>
                <c:pt idx="1">
                  <c:v>58.821707347292779</c:v>
                </c:pt>
                <c:pt idx="2">
                  <c:v>45.677099473194922</c:v>
                </c:pt>
                <c:pt idx="3">
                  <c:v>35.471346482373036</c:v>
                </c:pt>
                <c:pt idx="4">
                  <c:v>37.399434659708632</c:v>
                </c:pt>
                <c:pt idx="5">
                  <c:v>37.439651144681513</c:v>
                </c:pt>
                <c:pt idx="6">
                  <c:v>37.520543272659623</c:v>
                </c:pt>
                <c:pt idx="7">
                  <c:v>34.975577398540672</c:v>
                </c:pt>
                <c:pt idx="8">
                  <c:v>33.518227390027583</c:v>
                </c:pt>
                <c:pt idx="9">
                  <c:v>30.938968506465077</c:v>
                </c:pt>
              </c:numCache>
            </c:numRef>
          </c:val>
          <c:smooth val="0"/>
        </c:ser>
        <c:ser>
          <c:idx val="1"/>
          <c:order val="1"/>
          <c:tx>
            <c:strRef>
              <c:f>Cover!$N$633</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Cover!$O$631:$X$631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Cover!$O$633:$X$633</c:f>
              <c:numCache>
                <c:formatCode>0.0</c:formatCode>
                <c:ptCount val="10"/>
                <c:pt idx="0">
                  <c:v>51.744461009201849</c:v>
                </c:pt>
                <c:pt idx="1">
                  <c:v>50.20716781547744</c:v>
                </c:pt>
                <c:pt idx="2">
                  <c:v>47.3100579106518</c:v>
                </c:pt>
                <c:pt idx="3">
                  <c:v>46.109769153445889</c:v>
                </c:pt>
                <c:pt idx="4">
                  <c:v>43.665487638627901</c:v>
                </c:pt>
                <c:pt idx="5">
                  <c:v>41.131698753371261</c:v>
                </c:pt>
                <c:pt idx="6">
                  <c:v>39.208401943853168</c:v>
                </c:pt>
                <c:pt idx="7">
                  <c:v>36.56490784238958</c:v>
                </c:pt>
                <c:pt idx="8">
                  <c:v>35.047899139705223</c:v>
                </c:pt>
                <c:pt idx="9">
                  <c:v>33.942971264646751</c:v>
                </c:pt>
              </c:numCache>
            </c:numRef>
          </c:val>
          <c:smooth val="0"/>
        </c:ser>
        <c:ser>
          <c:idx val="2"/>
          <c:order val="2"/>
          <c:tx>
            <c:strRef>
              <c:f>Cover!$N$634</c:f>
              <c:strCache>
                <c:ptCount val="1"/>
                <c:pt idx="0">
                  <c:v>Min</c:v>
                </c:pt>
              </c:strCache>
            </c:strRef>
          </c:tx>
          <c:spPr>
            <a:ln w="25400">
              <a:solidFill>
                <a:srgbClr val="000000"/>
              </a:solidFill>
              <a:prstDash val="sysDash"/>
            </a:ln>
          </c:spPr>
          <c:marker>
            <c:symbol val="none"/>
          </c:marker>
          <c:cat>
            <c:strRef>
              <c:f>Cover!$O$631:$X$631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Cover!$O$634:$X$634</c:f>
              <c:numCache>
                <c:formatCode>0.0</c:formatCode>
                <c:ptCount val="10"/>
                <c:pt idx="0">
                  <c:v>31.56990211462303</c:v>
                </c:pt>
                <c:pt idx="1">
                  <c:v>24.454580425344837</c:v>
                </c:pt>
                <c:pt idx="2">
                  <c:v>22.859922178988324</c:v>
                </c:pt>
                <c:pt idx="3">
                  <c:v>19.725968971583942</c:v>
                </c:pt>
                <c:pt idx="4">
                  <c:v>20.783037682376403</c:v>
                </c:pt>
                <c:pt idx="5">
                  <c:v>20.824720959074</c:v>
                </c:pt>
                <c:pt idx="6">
                  <c:v>21.501513829732644</c:v>
                </c:pt>
                <c:pt idx="7">
                  <c:v>21.334656412800793</c:v>
                </c:pt>
                <c:pt idx="8">
                  <c:v>27.119611761347418</c:v>
                </c:pt>
                <c:pt idx="9">
                  <c:v>19.006364922206508</c:v>
                </c:pt>
              </c:numCache>
            </c:numRef>
          </c:val>
          <c:smooth val="0"/>
        </c:ser>
        <c:ser>
          <c:idx val="3"/>
          <c:order val="3"/>
          <c:tx>
            <c:strRef>
              <c:f>Cover!$N$635</c:f>
              <c:strCache>
                <c:ptCount val="1"/>
                <c:pt idx="0">
                  <c:v>Max</c:v>
                </c:pt>
              </c:strCache>
            </c:strRef>
          </c:tx>
          <c:spPr>
            <a:ln w="25400">
              <a:solidFill>
                <a:srgbClr val="000000"/>
              </a:solidFill>
              <a:prstDash val="sysDash"/>
            </a:ln>
          </c:spPr>
          <c:marker>
            <c:symbol val="none"/>
          </c:marker>
          <c:cat>
            <c:strRef>
              <c:f>Cover!$O$631:$X$631</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Cover!$O$635:$X$635</c:f>
              <c:numCache>
                <c:formatCode>0.0</c:formatCode>
                <c:ptCount val="10"/>
                <c:pt idx="0">
                  <c:v>118.15995189416716</c:v>
                </c:pt>
                <c:pt idx="1">
                  <c:v>101.14672155248456</c:v>
                </c:pt>
                <c:pt idx="2">
                  <c:v>85.714285714285708</c:v>
                </c:pt>
                <c:pt idx="3">
                  <c:v>86.740331491712709</c:v>
                </c:pt>
                <c:pt idx="4">
                  <c:v>78.763440860215056</c:v>
                </c:pt>
                <c:pt idx="5">
                  <c:v>83.289404322614658</c:v>
                </c:pt>
                <c:pt idx="6">
                  <c:v>83.508956796628027</c:v>
                </c:pt>
                <c:pt idx="7">
                  <c:v>82.872928176795583</c:v>
                </c:pt>
                <c:pt idx="8">
                  <c:v>65.805508164757498</c:v>
                </c:pt>
                <c:pt idx="9">
                  <c:v>55.007217259002068</c:v>
                </c:pt>
              </c:numCache>
            </c:numRef>
          </c:val>
          <c:smooth val="0"/>
        </c:ser>
        <c:dLbls>
          <c:showLegendKey val="0"/>
          <c:showVal val="0"/>
          <c:showCatName val="0"/>
          <c:showSerName val="0"/>
          <c:showPercent val="0"/>
          <c:showBubbleSize val="0"/>
        </c:dLbls>
        <c:marker val="1"/>
        <c:smooth val="0"/>
        <c:axId val="313236480"/>
        <c:axId val="313254656"/>
      </c:lineChart>
      <c:catAx>
        <c:axId val="31323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254656"/>
        <c:crosses val="autoZero"/>
        <c:auto val="1"/>
        <c:lblAlgn val="ctr"/>
        <c:lblOffset val="100"/>
        <c:tickLblSkip val="1"/>
        <c:tickMarkSkip val="1"/>
        <c:noMultiLvlLbl val="0"/>
      </c:catAx>
      <c:valAx>
        <c:axId val="3132546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2.7868874766965587E-2"/>
              <c:y val="0.171717736340410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236480"/>
        <c:crosses val="autoZero"/>
        <c:crossBetween val="between"/>
      </c:valAx>
      <c:spPr>
        <a:noFill/>
        <a:ln w="25400">
          <a:noFill/>
        </a:ln>
      </c:spPr>
    </c:plotArea>
    <c:legend>
      <c:legendPos val="r"/>
      <c:layout>
        <c:manualLayout>
          <c:xMode val="edge"/>
          <c:yMode val="edge"/>
          <c:x val="0.1836066782731437"/>
          <c:y val="0.90584593688054083"/>
          <c:w val="0.61311524487324287"/>
          <c:h val="8.080834651313431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Older people receiving less than 10 hours per week, 2014/15
(rate per 1,000 population aged 65+)</a:t>
            </a:r>
          </a:p>
        </c:rich>
      </c:tx>
      <c:layout>
        <c:manualLayout>
          <c:xMode val="edge"/>
          <c:yMode val="edge"/>
          <c:x val="0.20065789473684212"/>
          <c:y val="1.898737111132057E-2"/>
        </c:manualLayout>
      </c:layout>
      <c:overlay val="0"/>
      <c:spPr>
        <a:noFill/>
        <a:ln w="25400">
          <a:noFill/>
        </a:ln>
      </c:spPr>
    </c:title>
    <c:autoTitleDeleted val="0"/>
    <c:plotArea>
      <c:layout>
        <c:manualLayout>
          <c:layoutTarget val="inner"/>
          <c:xMode val="edge"/>
          <c:yMode val="edge"/>
          <c:x val="0.12006578947368421"/>
          <c:y val="0.19620283481697923"/>
          <c:w val="0.84868421052631582"/>
          <c:h val="0.43670953556037312"/>
        </c:manualLayout>
      </c:layout>
      <c:barChart>
        <c:barDir val="col"/>
        <c:grouping val="clustered"/>
        <c:varyColors val="0"/>
        <c:ser>
          <c:idx val="1"/>
          <c:order val="0"/>
          <c:tx>
            <c:strRef>
              <c:f>'Statistics - Older People'!$B$229</c:f>
              <c:strCache>
                <c:ptCount val="1"/>
                <c:pt idx="0">
                  <c:v>2013/14</c:v>
                </c:pt>
              </c:strCache>
            </c:strRef>
          </c:tx>
          <c:spPr>
            <a:solidFill>
              <a:srgbClr val="0000FF"/>
            </a:solidFill>
            <a:ln w="12700">
              <a:solidFill>
                <a:srgbClr val="000000"/>
              </a:solidFill>
              <a:prstDash val="solid"/>
            </a:ln>
          </c:spPr>
          <c:invertIfNegative val="0"/>
          <c:cat>
            <c:strRef>
              <c:f>'Statistics - Older People'!$A$230:$A$261</c:f>
              <c:strCache>
                <c:ptCount val="32"/>
                <c:pt idx="0">
                  <c:v>Angus</c:v>
                </c:pt>
                <c:pt idx="1">
                  <c:v>Falkirk</c:v>
                </c:pt>
                <c:pt idx="2">
                  <c:v>West Dunbartonshire</c:v>
                </c:pt>
                <c:pt idx="3">
                  <c:v>East Ayrshire</c:v>
                </c:pt>
                <c:pt idx="4">
                  <c:v>Eilean Siar</c:v>
                </c:pt>
                <c:pt idx="5">
                  <c:v>Dundee City</c:v>
                </c:pt>
                <c:pt idx="6">
                  <c:v>Inverclyde</c:v>
                </c:pt>
                <c:pt idx="7">
                  <c:v>East Renfrewshire</c:v>
                </c:pt>
                <c:pt idx="8">
                  <c:v>Renfrewshire</c:v>
                </c:pt>
                <c:pt idx="9">
                  <c:v>East Lothian</c:v>
                </c:pt>
                <c:pt idx="10">
                  <c:v>Glasgow City</c:v>
                </c:pt>
                <c:pt idx="11">
                  <c:v>North Ayrshire</c:v>
                </c:pt>
                <c:pt idx="12">
                  <c:v>Scottish Borders</c:v>
                </c:pt>
                <c:pt idx="13">
                  <c:v>South Ayrshire</c:v>
                </c:pt>
                <c:pt idx="14">
                  <c:v>West Lothian</c:v>
                </c:pt>
                <c:pt idx="15">
                  <c:v>Moray</c:v>
                </c:pt>
                <c:pt idx="16">
                  <c:v>North Lanarkshire</c:v>
                </c:pt>
                <c:pt idx="17">
                  <c:v>Clackmannanshire</c:v>
                </c:pt>
                <c:pt idx="18">
                  <c:v>South Lanarkshire</c:v>
                </c:pt>
                <c:pt idx="19">
                  <c:v>Aberdeen City</c:v>
                </c:pt>
                <c:pt idx="20">
                  <c:v>Stirling</c:v>
                </c:pt>
                <c:pt idx="21">
                  <c:v>Midlothian</c:v>
                </c:pt>
                <c:pt idx="22">
                  <c:v>Argyll &amp; Bute</c:v>
                </c:pt>
                <c:pt idx="23">
                  <c:v>Perth &amp; Kinross</c:v>
                </c:pt>
                <c:pt idx="24">
                  <c:v>Fife</c:v>
                </c:pt>
                <c:pt idx="25">
                  <c:v>Edinburgh</c:v>
                </c:pt>
                <c:pt idx="26">
                  <c:v>Aberdeenshire</c:v>
                </c:pt>
                <c:pt idx="27">
                  <c:v>Highland</c:v>
                </c:pt>
                <c:pt idx="28">
                  <c:v>Dumfries &amp; Galloway</c:v>
                </c:pt>
                <c:pt idx="29">
                  <c:v>East Dunbartonshire</c:v>
                </c:pt>
                <c:pt idx="30">
                  <c:v>Orkney Islands</c:v>
                </c:pt>
                <c:pt idx="31">
                  <c:v>Shetland Islands</c:v>
                </c:pt>
              </c:strCache>
            </c:strRef>
          </c:cat>
          <c:val>
            <c:numRef>
              <c:f>'Statistics - Older People'!$B$230:$B$261</c:f>
              <c:numCache>
                <c:formatCode>0.0</c:formatCode>
                <c:ptCount val="32"/>
                <c:pt idx="0">
                  <c:v>55.007217259002068</c:v>
                </c:pt>
                <c:pt idx="1">
                  <c:v>53.288508994671147</c:v>
                </c:pt>
                <c:pt idx="2">
                  <c:v>52.72854329458103</c:v>
                </c:pt>
                <c:pt idx="3">
                  <c:v>52.574876104287867</c:v>
                </c:pt>
                <c:pt idx="4">
                  <c:v>46.540490226497056</c:v>
                </c:pt>
                <c:pt idx="5">
                  <c:v>44.968212125910995</c:v>
                </c:pt>
                <c:pt idx="6">
                  <c:v>44.611560767318842</c:v>
                </c:pt>
                <c:pt idx="7">
                  <c:v>42.399231160608288</c:v>
                </c:pt>
                <c:pt idx="8">
                  <c:v>40.628641617586851</c:v>
                </c:pt>
                <c:pt idx="9">
                  <c:v>38.46942962659007</c:v>
                </c:pt>
                <c:pt idx="10">
                  <c:v>37.470221349646245</c:v>
                </c:pt>
                <c:pt idx="11">
                  <c:v>35.802035802035803</c:v>
                </c:pt>
                <c:pt idx="12">
                  <c:v>35.699365766586915</c:v>
                </c:pt>
                <c:pt idx="13">
                  <c:v>34.880194115862906</c:v>
                </c:pt>
                <c:pt idx="14" formatCode="#,##0.0">
                  <c:v>34.27939550313306</c:v>
                </c:pt>
                <c:pt idx="15">
                  <c:v>34.210526315789473</c:v>
                </c:pt>
                <c:pt idx="16">
                  <c:v>32.486494378741426</c:v>
                </c:pt>
                <c:pt idx="17">
                  <c:v>32.157787544216959</c:v>
                </c:pt>
                <c:pt idx="18">
                  <c:v>31.245660324954866</c:v>
                </c:pt>
                <c:pt idx="19">
                  <c:v>30.938968506465077</c:v>
                </c:pt>
                <c:pt idx="20">
                  <c:v>30.220431381844037</c:v>
                </c:pt>
                <c:pt idx="21">
                  <c:v>30.103119195542178</c:v>
                </c:pt>
                <c:pt idx="22">
                  <c:v>28.419856006062904</c:v>
                </c:pt>
                <c:pt idx="23">
                  <c:v>27.986222167548281</c:v>
                </c:pt>
                <c:pt idx="24">
                  <c:v>27.721880584833176</c:v>
                </c:pt>
                <c:pt idx="25">
                  <c:v>27.367936159546936</c:v>
                </c:pt>
                <c:pt idx="26">
                  <c:v>27.299729186686466</c:v>
                </c:pt>
                <c:pt idx="27">
                  <c:v>25.825262938665002</c:v>
                </c:pt>
                <c:pt idx="28">
                  <c:v>20.411016356773381</c:v>
                </c:pt>
                <c:pt idx="29">
                  <c:v>19.006364922206508</c:v>
                </c:pt>
                <c:pt idx="30">
                  <c:v>0</c:v>
                </c:pt>
                <c:pt idx="31">
                  <c:v>0</c:v>
                </c:pt>
              </c:numCache>
            </c:numRef>
          </c:val>
        </c:ser>
        <c:ser>
          <c:idx val="0"/>
          <c:order val="1"/>
          <c:tx>
            <c:strRef>
              <c:f>'Statistics - Older People'!$C$229</c:f>
              <c:strCache>
                <c:ptCount val="1"/>
                <c:pt idx="0">
                  <c:v>LA</c:v>
                </c:pt>
              </c:strCache>
            </c:strRef>
          </c:tx>
          <c:spPr>
            <a:solidFill>
              <a:srgbClr val="FFFF00"/>
            </a:solidFill>
            <a:ln w="12700">
              <a:solidFill>
                <a:srgbClr val="000000"/>
              </a:solidFill>
              <a:prstDash val="solid"/>
            </a:ln>
          </c:spPr>
          <c:invertIfNegative val="0"/>
          <c:cat>
            <c:strRef>
              <c:f>'Statistics - Older People'!$A$230:$A$261</c:f>
              <c:strCache>
                <c:ptCount val="32"/>
                <c:pt idx="0">
                  <c:v>Angus</c:v>
                </c:pt>
                <c:pt idx="1">
                  <c:v>Falkirk</c:v>
                </c:pt>
                <c:pt idx="2">
                  <c:v>West Dunbartonshire</c:v>
                </c:pt>
                <c:pt idx="3">
                  <c:v>East Ayrshire</c:v>
                </c:pt>
                <c:pt idx="4">
                  <c:v>Eilean Siar</c:v>
                </c:pt>
                <c:pt idx="5">
                  <c:v>Dundee City</c:v>
                </c:pt>
                <c:pt idx="6">
                  <c:v>Inverclyde</c:v>
                </c:pt>
                <c:pt idx="7">
                  <c:v>East Renfrewshire</c:v>
                </c:pt>
                <c:pt idx="8">
                  <c:v>Renfrewshire</c:v>
                </c:pt>
                <c:pt idx="9">
                  <c:v>East Lothian</c:v>
                </c:pt>
                <c:pt idx="10">
                  <c:v>Glasgow City</c:v>
                </c:pt>
                <c:pt idx="11">
                  <c:v>North Ayrshire</c:v>
                </c:pt>
                <c:pt idx="12">
                  <c:v>Scottish Borders</c:v>
                </c:pt>
                <c:pt idx="13">
                  <c:v>South Ayrshire</c:v>
                </c:pt>
                <c:pt idx="14">
                  <c:v>West Lothian</c:v>
                </c:pt>
                <c:pt idx="15">
                  <c:v>Moray</c:v>
                </c:pt>
                <c:pt idx="16">
                  <c:v>North Lanarkshire</c:v>
                </c:pt>
                <c:pt idx="17">
                  <c:v>Clackmannanshire</c:v>
                </c:pt>
                <c:pt idx="18">
                  <c:v>South Lanarkshire</c:v>
                </c:pt>
                <c:pt idx="19">
                  <c:v>Aberdeen City</c:v>
                </c:pt>
                <c:pt idx="20">
                  <c:v>Stirling</c:v>
                </c:pt>
                <c:pt idx="21">
                  <c:v>Midlothian</c:v>
                </c:pt>
                <c:pt idx="22">
                  <c:v>Argyll &amp; Bute</c:v>
                </c:pt>
                <c:pt idx="23">
                  <c:v>Perth &amp; Kinross</c:v>
                </c:pt>
                <c:pt idx="24">
                  <c:v>Fife</c:v>
                </c:pt>
                <c:pt idx="25">
                  <c:v>Edinburgh</c:v>
                </c:pt>
                <c:pt idx="26">
                  <c:v>Aberdeenshire</c:v>
                </c:pt>
                <c:pt idx="27">
                  <c:v>Highland</c:v>
                </c:pt>
                <c:pt idx="28">
                  <c:v>Dumfries &amp; Galloway</c:v>
                </c:pt>
                <c:pt idx="29">
                  <c:v>East Dunbartonshire</c:v>
                </c:pt>
                <c:pt idx="30">
                  <c:v>Orkney Islands</c:v>
                </c:pt>
                <c:pt idx="31">
                  <c:v>Shetland Islands</c:v>
                </c:pt>
              </c:strCache>
            </c:strRef>
          </c:cat>
          <c:val>
            <c:numRef>
              <c:f>'Statistics - Older People'!$C$230:$C$261</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6">
                  <c:v>0</c:v>
                </c:pt>
                <c:pt idx="17">
                  <c:v>0</c:v>
                </c:pt>
                <c:pt idx="18">
                  <c:v>0</c:v>
                </c:pt>
                <c:pt idx="19">
                  <c:v>30.938968506465077</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4528896"/>
        <c:axId val="314530432"/>
      </c:barChart>
      <c:lineChart>
        <c:grouping val="standard"/>
        <c:varyColors val="0"/>
        <c:ser>
          <c:idx val="2"/>
          <c:order val="2"/>
          <c:tx>
            <c:strRef>
              <c:f>'Statistics - Older People'!$D$229</c:f>
              <c:strCache>
                <c:ptCount val="1"/>
                <c:pt idx="0">
                  <c:v>Scotland</c:v>
                </c:pt>
              </c:strCache>
            </c:strRef>
          </c:tx>
          <c:spPr>
            <a:ln w="25400">
              <a:solidFill>
                <a:srgbClr val="FF0000"/>
              </a:solidFill>
              <a:prstDash val="solid"/>
            </a:ln>
          </c:spPr>
          <c:marker>
            <c:symbol val="none"/>
          </c:marker>
          <c:cat>
            <c:strRef>
              <c:f>'Statistics - Older People'!$A$230:$A$261</c:f>
              <c:strCache>
                <c:ptCount val="32"/>
                <c:pt idx="0">
                  <c:v>Angus</c:v>
                </c:pt>
                <c:pt idx="1">
                  <c:v>Falkirk</c:v>
                </c:pt>
                <c:pt idx="2">
                  <c:v>West Dunbartonshire</c:v>
                </c:pt>
                <c:pt idx="3">
                  <c:v>East Ayrshire</c:v>
                </c:pt>
                <c:pt idx="4">
                  <c:v>Eilean Siar</c:v>
                </c:pt>
                <c:pt idx="5">
                  <c:v>Dundee City</c:v>
                </c:pt>
                <c:pt idx="6">
                  <c:v>Inverclyde</c:v>
                </c:pt>
                <c:pt idx="7">
                  <c:v>East Renfrewshire</c:v>
                </c:pt>
                <c:pt idx="8">
                  <c:v>Renfrewshire</c:v>
                </c:pt>
                <c:pt idx="9">
                  <c:v>East Lothian</c:v>
                </c:pt>
                <c:pt idx="10">
                  <c:v>Glasgow City</c:v>
                </c:pt>
                <c:pt idx="11">
                  <c:v>North Ayrshire</c:v>
                </c:pt>
                <c:pt idx="12">
                  <c:v>Scottish Borders</c:v>
                </c:pt>
                <c:pt idx="13">
                  <c:v>South Ayrshire</c:v>
                </c:pt>
                <c:pt idx="14">
                  <c:v>West Lothian</c:v>
                </c:pt>
                <c:pt idx="15">
                  <c:v>Moray</c:v>
                </c:pt>
                <c:pt idx="16">
                  <c:v>North Lanarkshire</c:v>
                </c:pt>
                <c:pt idx="17">
                  <c:v>Clackmannanshire</c:v>
                </c:pt>
                <c:pt idx="18">
                  <c:v>South Lanarkshire</c:v>
                </c:pt>
                <c:pt idx="19">
                  <c:v>Aberdeen City</c:v>
                </c:pt>
                <c:pt idx="20">
                  <c:v>Stirling</c:v>
                </c:pt>
                <c:pt idx="21">
                  <c:v>Midlothian</c:v>
                </c:pt>
                <c:pt idx="22">
                  <c:v>Argyll &amp; Bute</c:v>
                </c:pt>
                <c:pt idx="23">
                  <c:v>Perth &amp; Kinross</c:v>
                </c:pt>
                <c:pt idx="24">
                  <c:v>Fife</c:v>
                </c:pt>
                <c:pt idx="25">
                  <c:v>Edinburgh</c:v>
                </c:pt>
                <c:pt idx="26">
                  <c:v>Aberdeenshire</c:v>
                </c:pt>
                <c:pt idx="27">
                  <c:v>Highland</c:v>
                </c:pt>
                <c:pt idx="28">
                  <c:v>Dumfries &amp; Galloway</c:v>
                </c:pt>
                <c:pt idx="29">
                  <c:v>East Dunbartonshire</c:v>
                </c:pt>
                <c:pt idx="30">
                  <c:v>Orkney Islands</c:v>
                </c:pt>
                <c:pt idx="31">
                  <c:v>Shetland Islands</c:v>
                </c:pt>
              </c:strCache>
            </c:strRef>
          </c:cat>
          <c:val>
            <c:numRef>
              <c:f>'Statistics - Older People'!$D$230:$D$261</c:f>
              <c:numCache>
                <c:formatCode>0.0</c:formatCode>
                <c:ptCount val="32"/>
                <c:pt idx="0">
                  <c:v>33.942971264646751</c:v>
                </c:pt>
                <c:pt idx="1">
                  <c:v>33.942971264646751</c:v>
                </c:pt>
                <c:pt idx="2">
                  <c:v>33.942971264646751</c:v>
                </c:pt>
                <c:pt idx="3">
                  <c:v>33.942971264646751</c:v>
                </c:pt>
                <c:pt idx="4">
                  <c:v>33.942971264646751</c:v>
                </c:pt>
                <c:pt idx="5">
                  <c:v>33.942971264646751</c:v>
                </c:pt>
                <c:pt idx="6">
                  <c:v>33.942971264646751</c:v>
                </c:pt>
                <c:pt idx="7">
                  <c:v>33.942971264646751</c:v>
                </c:pt>
                <c:pt idx="8">
                  <c:v>33.942971264646751</c:v>
                </c:pt>
                <c:pt idx="9">
                  <c:v>33.942971264646751</c:v>
                </c:pt>
                <c:pt idx="10">
                  <c:v>33.942971264646751</c:v>
                </c:pt>
                <c:pt idx="11">
                  <c:v>33.942971264646751</c:v>
                </c:pt>
                <c:pt idx="12">
                  <c:v>33.942971264646751</c:v>
                </c:pt>
                <c:pt idx="13">
                  <c:v>33.942971264646751</c:v>
                </c:pt>
                <c:pt idx="14">
                  <c:v>33.942971264646751</c:v>
                </c:pt>
                <c:pt idx="15">
                  <c:v>33.942971264646751</c:v>
                </c:pt>
                <c:pt idx="16">
                  <c:v>33.942971264646751</c:v>
                </c:pt>
                <c:pt idx="17">
                  <c:v>33.942971264646751</c:v>
                </c:pt>
                <c:pt idx="18">
                  <c:v>33.942971264646751</c:v>
                </c:pt>
                <c:pt idx="19">
                  <c:v>33.942971264646751</c:v>
                </c:pt>
                <c:pt idx="20">
                  <c:v>33.942971264646751</c:v>
                </c:pt>
                <c:pt idx="21">
                  <c:v>33.942971264646751</c:v>
                </c:pt>
                <c:pt idx="22">
                  <c:v>33.942971264646751</c:v>
                </c:pt>
                <c:pt idx="23">
                  <c:v>33.942971264646751</c:v>
                </c:pt>
                <c:pt idx="24">
                  <c:v>33.942971264646751</c:v>
                </c:pt>
                <c:pt idx="25">
                  <c:v>33.942971264646751</c:v>
                </c:pt>
                <c:pt idx="26">
                  <c:v>33.942971264646751</c:v>
                </c:pt>
                <c:pt idx="27">
                  <c:v>33.942971264646751</c:v>
                </c:pt>
                <c:pt idx="28">
                  <c:v>33.942971264646751</c:v>
                </c:pt>
                <c:pt idx="29">
                  <c:v>33.942971264646751</c:v>
                </c:pt>
                <c:pt idx="30">
                  <c:v>33.942971264646751</c:v>
                </c:pt>
                <c:pt idx="31">
                  <c:v>33.942971264646751</c:v>
                </c:pt>
              </c:numCache>
            </c:numRef>
          </c:val>
          <c:smooth val="0"/>
        </c:ser>
        <c:dLbls>
          <c:showLegendKey val="0"/>
          <c:showVal val="0"/>
          <c:showCatName val="0"/>
          <c:showSerName val="0"/>
          <c:showPercent val="0"/>
          <c:showBubbleSize val="0"/>
        </c:dLbls>
        <c:marker val="1"/>
        <c:smooth val="0"/>
        <c:axId val="314532608"/>
        <c:axId val="314534144"/>
      </c:lineChart>
      <c:catAx>
        <c:axId val="3145288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4530432"/>
        <c:crosses val="autoZero"/>
        <c:auto val="0"/>
        <c:lblAlgn val="ctr"/>
        <c:lblOffset val="100"/>
        <c:tickLblSkip val="1"/>
        <c:tickMarkSkip val="1"/>
        <c:noMultiLvlLbl val="0"/>
      </c:catAx>
      <c:valAx>
        <c:axId val="314530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65+</a:t>
                </a:r>
              </a:p>
            </c:rich>
          </c:tx>
          <c:layout>
            <c:manualLayout>
              <c:xMode val="edge"/>
              <c:yMode val="edge"/>
              <c:x val="8.2236842105263153E-3"/>
              <c:y val="0.1012659792603763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4528896"/>
        <c:crosses val="autoZero"/>
        <c:crossBetween val="between"/>
      </c:valAx>
      <c:catAx>
        <c:axId val="314532608"/>
        <c:scaling>
          <c:orientation val="minMax"/>
        </c:scaling>
        <c:delete val="1"/>
        <c:axPos val="b"/>
        <c:majorTickMark val="out"/>
        <c:minorTickMark val="none"/>
        <c:tickLblPos val="nextTo"/>
        <c:crossAx val="314534144"/>
        <c:crosses val="autoZero"/>
        <c:auto val="0"/>
        <c:lblAlgn val="ctr"/>
        <c:lblOffset val="100"/>
        <c:noMultiLvlLbl val="0"/>
      </c:catAx>
      <c:valAx>
        <c:axId val="314534144"/>
        <c:scaling>
          <c:orientation val="minMax"/>
        </c:scaling>
        <c:delete val="1"/>
        <c:axPos val="l"/>
        <c:numFmt formatCode="0.0" sourceLinked="1"/>
        <c:majorTickMark val="out"/>
        <c:minorTickMark val="none"/>
        <c:tickLblPos val="nextTo"/>
        <c:crossAx val="31453260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Children looked after away from home by age group 
(Scotland)</a:t>
            </a:r>
          </a:p>
        </c:rich>
      </c:tx>
      <c:layout>
        <c:manualLayout>
          <c:xMode val="edge"/>
          <c:yMode val="edge"/>
          <c:x val="0.28382884022541549"/>
          <c:y val="3.3707988456769575E-2"/>
        </c:manualLayout>
      </c:layout>
      <c:overlay val="0"/>
      <c:spPr>
        <a:noFill/>
        <a:ln w="25400">
          <a:noFill/>
        </a:ln>
      </c:spPr>
    </c:title>
    <c:autoTitleDeleted val="0"/>
    <c:plotArea>
      <c:layout>
        <c:manualLayout>
          <c:layoutTarget val="inner"/>
          <c:xMode val="edge"/>
          <c:yMode val="edge"/>
          <c:x val="0.11716190497677034"/>
          <c:y val="0.20599326279136965"/>
          <c:w val="0.83663501159468401"/>
          <c:h val="0.58427179991733935"/>
        </c:manualLayout>
      </c:layout>
      <c:lineChart>
        <c:grouping val="standard"/>
        <c:varyColors val="0"/>
        <c:ser>
          <c:idx val="0"/>
          <c:order val="0"/>
          <c:tx>
            <c:strRef>
              <c:f>Cover!$M$251</c:f>
              <c:strCache>
                <c:ptCount val="1"/>
                <c:pt idx="0">
                  <c:v>0-4</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Cover!$N$250:$V$250</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Cover!$N$251:$V$251</c:f>
              <c:numCache>
                <c:formatCode>#,##0</c:formatCode>
                <c:ptCount val="9"/>
                <c:pt idx="0">
                  <c:v>1722</c:v>
                </c:pt>
                <c:pt idx="1">
                  <c:v>1872</c:v>
                </c:pt>
                <c:pt idx="2">
                  <c:v>2161</c:v>
                </c:pt>
                <c:pt idx="3">
                  <c:v>2175</c:v>
                </c:pt>
                <c:pt idx="4">
                  <c:v>2361</c:v>
                </c:pt>
                <c:pt idx="5">
                  <c:v>2419</c:v>
                </c:pt>
                <c:pt idx="6">
                  <c:v>2408</c:v>
                </c:pt>
                <c:pt idx="7">
                  <c:v>2335</c:v>
                </c:pt>
                <c:pt idx="8">
                  <c:v>2332</c:v>
                </c:pt>
              </c:numCache>
            </c:numRef>
          </c:val>
          <c:smooth val="0"/>
        </c:ser>
        <c:ser>
          <c:idx val="1"/>
          <c:order val="1"/>
          <c:tx>
            <c:strRef>
              <c:f>Cover!$M$252</c:f>
              <c:strCache>
                <c:ptCount val="1"/>
                <c:pt idx="0">
                  <c:v>5-11</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Cover!$N$250:$V$250</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Cover!$N$252:$V$252</c:f>
              <c:numCache>
                <c:formatCode>#,##0</c:formatCode>
                <c:ptCount val="9"/>
                <c:pt idx="0">
                  <c:v>2808</c:v>
                </c:pt>
                <c:pt idx="1">
                  <c:v>3088</c:v>
                </c:pt>
                <c:pt idx="2">
                  <c:v>3483</c:v>
                </c:pt>
                <c:pt idx="3">
                  <c:v>3693</c:v>
                </c:pt>
                <c:pt idx="4">
                  <c:v>4185</c:v>
                </c:pt>
                <c:pt idx="5">
                  <c:v>4253</c:v>
                </c:pt>
                <c:pt idx="6">
                  <c:v>4201</c:v>
                </c:pt>
                <c:pt idx="7">
                  <c:v>4255</c:v>
                </c:pt>
                <c:pt idx="8">
                  <c:v>4180</c:v>
                </c:pt>
              </c:numCache>
            </c:numRef>
          </c:val>
          <c:smooth val="0"/>
        </c:ser>
        <c:ser>
          <c:idx val="2"/>
          <c:order val="2"/>
          <c:tx>
            <c:strRef>
              <c:f>Cover!$M$253</c:f>
              <c:strCache>
                <c:ptCount val="1"/>
                <c:pt idx="0">
                  <c:v>12-17</c:v>
                </c:pt>
              </c:strCache>
            </c:strRef>
          </c:tx>
          <c:spPr>
            <a:ln w="25400">
              <a:solidFill>
                <a:srgbClr val="339966"/>
              </a:solidFill>
              <a:prstDash val="solid"/>
            </a:ln>
          </c:spPr>
          <c:marker>
            <c:symbol val="triangle"/>
            <c:size val="5"/>
            <c:spPr>
              <a:solidFill>
                <a:srgbClr val="339966"/>
              </a:solidFill>
              <a:ln>
                <a:solidFill>
                  <a:srgbClr val="339966"/>
                </a:solidFill>
                <a:prstDash val="solid"/>
              </a:ln>
            </c:spPr>
          </c:marker>
          <c:cat>
            <c:numRef>
              <c:f>Cover!$N$250:$V$250</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Cover!$N$253:$V$253</c:f>
              <c:numCache>
                <c:formatCode>#,##0</c:formatCode>
                <c:ptCount val="9"/>
                <c:pt idx="0">
                  <c:v>3356</c:v>
                </c:pt>
                <c:pt idx="1">
                  <c:v>3420</c:v>
                </c:pt>
                <c:pt idx="2">
                  <c:v>3602</c:v>
                </c:pt>
                <c:pt idx="3">
                  <c:v>3693</c:v>
                </c:pt>
                <c:pt idx="4">
                  <c:v>4068</c:v>
                </c:pt>
                <c:pt idx="5">
                  <c:v>4289</c:v>
                </c:pt>
                <c:pt idx="6">
                  <c:v>4527</c:v>
                </c:pt>
                <c:pt idx="7">
                  <c:v>4632</c:v>
                </c:pt>
                <c:pt idx="8">
                  <c:v>4726</c:v>
                </c:pt>
              </c:numCache>
            </c:numRef>
          </c:val>
          <c:smooth val="0"/>
        </c:ser>
        <c:dLbls>
          <c:showLegendKey val="0"/>
          <c:showVal val="0"/>
          <c:showCatName val="0"/>
          <c:showSerName val="0"/>
          <c:showPercent val="0"/>
          <c:showBubbleSize val="0"/>
        </c:dLbls>
        <c:marker val="1"/>
        <c:smooth val="0"/>
        <c:axId val="314562432"/>
        <c:axId val="314572800"/>
      </c:lineChart>
      <c:catAx>
        <c:axId val="314562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4572800"/>
        <c:crosses val="autoZero"/>
        <c:auto val="1"/>
        <c:lblAlgn val="ctr"/>
        <c:lblOffset val="100"/>
        <c:tickLblSkip val="1"/>
        <c:tickMarkSkip val="1"/>
        <c:noMultiLvlLbl val="0"/>
      </c:catAx>
      <c:valAx>
        <c:axId val="314572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children</a:t>
                </a:r>
              </a:p>
            </c:rich>
          </c:tx>
          <c:layout>
            <c:manualLayout>
              <c:xMode val="edge"/>
              <c:yMode val="edge"/>
              <c:x val="1.4851509081562438E-2"/>
              <c:y val="0.292135899958669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14562432"/>
        <c:crosses val="autoZero"/>
        <c:crossBetween val="between"/>
      </c:valAx>
      <c:spPr>
        <a:noFill/>
        <a:ln w="25400">
          <a:noFill/>
        </a:ln>
      </c:spPr>
    </c:plotArea>
    <c:legend>
      <c:legendPos val="r"/>
      <c:layout>
        <c:manualLayout>
          <c:xMode val="edge"/>
          <c:yMode val="edge"/>
          <c:x val="0.42409309266239409"/>
          <c:y val="0.89138902807901776"/>
          <c:w val="0.2953800139555196"/>
          <c:h val="8.6142637167300029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Children aged 0-17 in residential placements, 2015
(rate per 1,000)</a:t>
            </a:r>
          </a:p>
        </c:rich>
      </c:tx>
      <c:layout>
        <c:manualLayout>
          <c:xMode val="edge"/>
          <c:yMode val="edge"/>
          <c:x val="0.24177631578947367"/>
          <c:y val="1.1389534308191455E-2"/>
        </c:manualLayout>
      </c:layout>
      <c:overlay val="0"/>
      <c:spPr>
        <a:noFill/>
        <a:ln w="25400">
          <a:noFill/>
        </a:ln>
      </c:spPr>
    </c:title>
    <c:autoTitleDeleted val="0"/>
    <c:plotArea>
      <c:layout>
        <c:manualLayout>
          <c:layoutTarget val="inner"/>
          <c:xMode val="edge"/>
          <c:yMode val="edge"/>
          <c:x val="0.11949125993099532"/>
          <c:y val="0.21197351636717746"/>
          <c:w val="0.87993421052631582"/>
          <c:h val="0.53758601934663675"/>
        </c:manualLayout>
      </c:layout>
      <c:barChart>
        <c:barDir val="col"/>
        <c:grouping val="stacked"/>
        <c:varyColors val="0"/>
        <c:ser>
          <c:idx val="0"/>
          <c:order val="0"/>
          <c:tx>
            <c:strRef>
              <c:f>'Statistics - Children'!$S$228</c:f>
              <c:strCache>
                <c:ptCount val="1"/>
                <c:pt idx="0">
                  <c:v>In residential school</c:v>
                </c:pt>
              </c:strCache>
            </c:strRef>
          </c:tx>
          <c:spPr>
            <a:solidFill>
              <a:srgbClr val="0000FF"/>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Children'!$S$229:$S$261</c:f>
              <c:numCache>
                <c:formatCode>0.00</c:formatCode>
                <c:ptCount val="33"/>
                <c:pt idx="0">
                  <c:v>0</c:v>
                </c:pt>
                <c:pt idx="1">
                  <c:v>0</c:v>
                </c:pt>
                <c:pt idx="2">
                  <c:v>0</c:v>
                </c:pt>
                <c:pt idx="3">
                  <c:v>0.79443892750744782</c:v>
                </c:pt>
                <c:pt idx="4">
                  <c:v>0</c:v>
                </c:pt>
                <c:pt idx="5">
                  <c:v>0.84081103805703739</c:v>
                </c:pt>
                <c:pt idx="6">
                  <c:v>0</c:v>
                </c:pt>
                <c:pt idx="7">
                  <c:v>0</c:v>
                </c:pt>
                <c:pt idx="8">
                  <c:v>5.544774050457444E-2</c:v>
                </c:pt>
                <c:pt idx="9">
                  <c:v>6.6746762782005073E-2</c:v>
                </c:pt>
                <c:pt idx="10">
                  <c:v>0.11050130759880659</c:v>
                </c:pt>
                <c:pt idx="11">
                  <c:v>0</c:v>
                </c:pt>
                <c:pt idx="12">
                  <c:v>0</c:v>
                </c:pt>
                <c:pt idx="13">
                  <c:v>0.15961691939345568</c:v>
                </c:pt>
                <c:pt idx="14">
                  <c:v>4.6174447060996444E-2</c:v>
                </c:pt>
                <c:pt idx="15">
                  <c:v>0.5250170630545492</c:v>
                </c:pt>
                <c:pt idx="16">
                  <c:v>0.20538700780470631</c:v>
                </c:pt>
                <c:pt idx="17">
                  <c:v>0</c:v>
                </c:pt>
                <c:pt idx="18">
                  <c:v>0.12485687433881509</c:v>
                </c:pt>
                <c:pt idx="19">
                  <c:v>0</c:v>
                </c:pt>
                <c:pt idx="20">
                  <c:v>0</c:v>
                </c:pt>
                <c:pt idx="21">
                  <c:v>0</c:v>
                </c:pt>
                <c:pt idx="22">
                  <c:v>0</c:v>
                </c:pt>
                <c:pt idx="23">
                  <c:v>5.9119125036949452E-2</c:v>
                </c:pt>
                <c:pt idx="24">
                  <c:v>0.19291053773812394</c:v>
                </c:pt>
                <c:pt idx="25">
                  <c:v>0.28507625789898794</c:v>
                </c:pt>
                <c:pt idx="26">
                  <c:v>0.16438956674216409</c:v>
                </c:pt>
                <c:pt idx="27">
                  <c:v>0</c:v>
                </c:pt>
                <c:pt idx="28">
                  <c:v>0</c:v>
                </c:pt>
                <c:pt idx="29">
                  <c:v>0</c:v>
                </c:pt>
                <c:pt idx="30">
                  <c:v>0</c:v>
                </c:pt>
                <c:pt idx="31">
                  <c:v>4.1649312786339023E-2</c:v>
                </c:pt>
                <c:pt idx="32">
                  <c:v>0</c:v>
                </c:pt>
              </c:numCache>
            </c:numRef>
          </c:val>
        </c:ser>
        <c:ser>
          <c:idx val="1"/>
          <c:order val="1"/>
          <c:tx>
            <c:strRef>
              <c:f>'Statistics - Children'!$T$228</c:f>
              <c:strCache>
                <c:ptCount val="1"/>
                <c:pt idx="0">
                  <c:v>In secure accommodation</c:v>
                </c:pt>
              </c:strCache>
            </c:strRef>
          </c:tx>
          <c:spPr>
            <a:solidFill>
              <a:srgbClr val="FF0000"/>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Children'!$T$229:$T$261</c:f>
              <c:numCache>
                <c:formatCode>0.00</c:formatCode>
                <c:ptCount val="33"/>
                <c:pt idx="0">
                  <c:v>0.24931438544003989</c:v>
                </c:pt>
                <c:pt idx="1">
                  <c:v>5.6296796712267075E-2</c:v>
                </c:pt>
                <c:pt idx="2">
                  <c:v>0.13730479834501949</c:v>
                </c:pt>
                <c:pt idx="3">
                  <c:v>0</c:v>
                </c:pt>
                <c:pt idx="4">
                  <c:v>3.7390166386240417E-2</c:v>
                </c:pt>
                <c:pt idx="5">
                  <c:v>6.8918937545658795E-2</c:v>
                </c:pt>
                <c:pt idx="6">
                  <c:v>0.12527796047480347</c:v>
                </c:pt>
                <c:pt idx="7">
                  <c:v>9.7049689440993778E-2</c:v>
                </c:pt>
                <c:pt idx="8">
                  <c:v>5.544774050457444E-2</c:v>
                </c:pt>
                <c:pt idx="9">
                  <c:v>0.26698705112802029</c:v>
                </c:pt>
                <c:pt idx="10">
                  <c:v>0.14733507679840879</c:v>
                </c:pt>
                <c:pt idx="11">
                  <c:v>8.7943012927622896E-2</c:v>
                </c:pt>
                <c:pt idx="12">
                  <c:v>0.16289297931259161</c:v>
                </c:pt>
                <c:pt idx="13">
                  <c:v>0.10641127959563713</c:v>
                </c:pt>
                <c:pt idx="14">
                  <c:v>4.6174447060996444E-2</c:v>
                </c:pt>
                <c:pt idx="15">
                  <c:v>0.10500341261090985</c:v>
                </c:pt>
                <c:pt idx="16">
                  <c:v>0.11736400445983217</c:v>
                </c:pt>
                <c:pt idx="17">
                  <c:v>0</c:v>
                </c:pt>
                <c:pt idx="18">
                  <c:v>7.5494854251376559E-2</c:v>
                </c:pt>
                <c:pt idx="19">
                  <c:v>9.7828213656818624E-2</c:v>
                </c:pt>
                <c:pt idx="20">
                  <c:v>4.1511000415110008E-2</c:v>
                </c:pt>
                <c:pt idx="21">
                  <c:v>2.5315814789499E-2</c:v>
                </c:pt>
                <c:pt idx="22">
                  <c:v>3.6583135174684471E-2</c:v>
                </c:pt>
                <c:pt idx="23">
                  <c:v>0.1182382500738989</c:v>
                </c:pt>
                <c:pt idx="24">
                  <c:v>6.4303512579374653E-2</c:v>
                </c:pt>
                <c:pt idx="25">
                  <c:v>4.7512709649831335E-2</c:v>
                </c:pt>
                <c:pt idx="26">
                  <c:v>0</c:v>
                </c:pt>
                <c:pt idx="27">
                  <c:v>0</c:v>
                </c:pt>
                <c:pt idx="28">
                  <c:v>0</c:v>
                </c:pt>
                <c:pt idx="29">
                  <c:v>0</c:v>
                </c:pt>
                <c:pt idx="30">
                  <c:v>8.8845453333925642E-2</c:v>
                </c:pt>
                <c:pt idx="31">
                  <c:v>1.3883104262113009E-2</c:v>
                </c:pt>
                <c:pt idx="32">
                  <c:v>0</c:v>
                </c:pt>
              </c:numCache>
            </c:numRef>
          </c:val>
        </c:ser>
        <c:ser>
          <c:idx val="2"/>
          <c:order val="2"/>
          <c:tx>
            <c:strRef>
              <c:f>'Statistics - Children'!$U$228</c:f>
              <c:strCache>
                <c:ptCount val="1"/>
                <c:pt idx="0">
                  <c:v>In local authority care home</c:v>
                </c:pt>
              </c:strCache>
            </c:strRef>
          </c:tx>
          <c:spPr>
            <a:solidFill>
              <a:srgbClr val="008000"/>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Children'!$U$229:$U$261</c:f>
              <c:numCache>
                <c:formatCode>0.00</c:formatCode>
                <c:ptCount val="33"/>
                <c:pt idx="0">
                  <c:v>1.9945150835203191</c:v>
                </c:pt>
                <c:pt idx="1">
                  <c:v>1.1259359342453414</c:v>
                </c:pt>
                <c:pt idx="2">
                  <c:v>0.98859454808414038</c:v>
                </c:pt>
                <c:pt idx="3">
                  <c:v>0.39721946375372391</c:v>
                </c:pt>
                <c:pt idx="4">
                  <c:v>1.1217049915872126</c:v>
                </c:pt>
                <c:pt idx="5">
                  <c:v>0.2067568126369764</c:v>
                </c:pt>
                <c:pt idx="6">
                  <c:v>0.28187541106830782</c:v>
                </c:pt>
                <c:pt idx="7">
                  <c:v>0.29114906832298137</c:v>
                </c:pt>
                <c:pt idx="8">
                  <c:v>0.22179096201829776</c:v>
                </c:pt>
                <c:pt idx="9">
                  <c:v>0.86770791616606602</c:v>
                </c:pt>
                <c:pt idx="10">
                  <c:v>0.84717669159085052</c:v>
                </c:pt>
                <c:pt idx="11">
                  <c:v>0.48368657110192592</c:v>
                </c:pt>
                <c:pt idx="12">
                  <c:v>0.38008361839604715</c:v>
                </c:pt>
                <c:pt idx="13">
                  <c:v>0.39904229848363931</c:v>
                </c:pt>
                <c:pt idx="14">
                  <c:v>0.23087223530498222</c:v>
                </c:pt>
                <c:pt idx="15">
                  <c:v>0</c:v>
                </c:pt>
                <c:pt idx="16">
                  <c:v>0.7628660289889091</c:v>
                </c:pt>
                <c:pt idx="17">
                  <c:v>0.76800000000000002</c:v>
                </c:pt>
                <c:pt idx="18">
                  <c:v>0.5178172695446982</c:v>
                </c:pt>
                <c:pt idx="19">
                  <c:v>0.53805517511250245</c:v>
                </c:pt>
                <c:pt idx="20">
                  <c:v>0.58115400581153998</c:v>
                </c:pt>
                <c:pt idx="21">
                  <c:v>0.303789777473988</c:v>
                </c:pt>
                <c:pt idx="22">
                  <c:v>0.10974940552405341</c:v>
                </c:pt>
                <c:pt idx="23">
                  <c:v>0.61483890038427436</c:v>
                </c:pt>
                <c:pt idx="24">
                  <c:v>0.64303512579374644</c:v>
                </c:pt>
                <c:pt idx="25">
                  <c:v>0.47512709649831331</c:v>
                </c:pt>
                <c:pt idx="26">
                  <c:v>0.27398261123694018</c:v>
                </c:pt>
                <c:pt idx="27">
                  <c:v>0.32896282720052639</c:v>
                </c:pt>
                <c:pt idx="28">
                  <c:v>0.41017227235438886</c:v>
                </c:pt>
                <c:pt idx="29">
                  <c:v>0.46166412159522707</c:v>
                </c:pt>
                <c:pt idx="30">
                  <c:v>0.26653636000177694</c:v>
                </c:pt>
                <c:pt idx="31">
                  <c:v>0.36096071081493825</c:v>
                </c:pt>
                <c:pt idx="32">
                  <c:v>9.6464573385424204E-2</c:v>
                </c:pt>
              </c:numCache>
            </c:numRef>
          </c:val>
        </c:ser>
        <c:ser>
          <c:idx val="3"/>
          <c:order val="3"/>
          <c:tx>
            <c:strRef>
              <c:f>'Statistics - Children'!$V$228</c:f>
              <c:strCache>
                <c:ptCount val="1"/>
                <c:pt idx="0">
                  <c:v>In voluntary care home</c:v>
                </c:pt>
              </c:strCache>
            </c:strRef>
          </c:tx>
          <c:spPr>
            <a:solidFill>
              <a:srgbClr val="99CCFF"/>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Children'!$V$229:$V$261</c:f>
              <c:numCache>
                <c:formatCode>0.00</c:formatCode>
                <c:ptCount val="33"/>
                <c:pt idx="0">
                  <c:v>0.99725754176015957</c:v>
                </c:pt>
                <c:pt idx="1">
                  <c:v>1.0133423408208073</c:v>
                </c:pt>
                <c:pt idx="2">
                  <c:v>0.31122420958204416</c:v>
                </c:pt>
                <c:pt idx="3">
                  <c:v>0.79443892750744782</c:v>
                </c:pt>
                <c:pt idx="4">
                  <c:v>0.71041316133856791</c:v>
                </c:pt>
                <c:pt idx="5">
                  <c:v>0.30324332520089869</c:v>
                </c:pt>
                <c:pt idx="6">
                  <c:v>0.50111184189921387</c:v>
                </c:pt>
                <c:pt idx="7">
                  <c:v>1.0675465838509317</c:v>
                </c:pt>
                <c:pt idx="8">
                  <c:v>1.1089548100914888</c:v>
                </c:pt>
                <c:pt idx="9">
                  <c:v>0.2002402883460152</c:v>
                </c:pt>
                <c:pt idx="10">
                  <c:v>0.47883899959482856</c:v>
                </c:pt>
                <c:pt idx="11">
                  <c:v>0.28581479201477439</c:v>
                </c:pt>
                <c:pt idx="12">
                  <c:v>0.7601672367920943</c:v>
                </c:pt>
                <c:pt idx="13">
                  <c:v>0.37243947858472998</c:v>
                </c:pt>
                <c:pt idx="14">
                  <c:v>0.50791891767096087</c:v>
                </c:pt>
                <c:pt idx="15">
                  <c:v>0.5250170630545492</c:v>
                </c:pt>
                <c:pt idx="16">
                  <c:v>0.35209201337949647</c:v>
                </c:pt>
                <c:pt idx="17">
                  <c:v>0.44800000000000001</c:v>
                </c:pt>
                <c:pt idx="18">
                  <c:v>0.37844215400369535</c:v>
                </c:pt>
                <c:pt idx="19">
                  <c:v>0.3423987477988652</c:v>
                </c:pt>
                <c:pt idx="20">
                  <c:v>0.24906600249066002</c:v>
                </c:pt>
                <c:pt idx="21">
                  <c:v>0.607579554947976</c:v>
                </c:pt>
                <c:pt idx="22">
                  <c:v>0.47558075727089816</c:v>
                </c:pt>
                <c:pt idx="23">
                  <c:v>0.22465267514040793</c:v>
                </c:pt>
                <c:pt idx="24">
                  <c:v>0.20898641588296762</c:v>
                </c:pt>
                <c:pt idx="25">
                  <c:v>0.14253812894949397</c:v>
                </c:pt>
                <c:pt idx="26">
                  <c:v>0.51143420764228831</c:v>
                </c:pt>
                <c:pt idx="27">
                  <c:v>0.42295220640067671</c:v>
                </c:pt>
                <c:pt idx="28">
                  <c:v>0</c:v>
                </c:pt>
                <c:pt idx="29">
                  <c:v>0.24858837316666077</c:v>
                </c:pt>
                <c:pt idx="30">
                  <c:v>0.17769090666785128</c:v>
                </c:pt>
                <c:pt idx="31">
                  <c:v>0.11106483409690407</c:v>
                </c:pt>
                <c:pt idx="32">
                  <c:v>0.2411614334635605</c:v>
                </c:pt>
              </c:numCache>
            </c:numRef>
          </c:val>
        </c:ser>
        <c:ser>
          <c:idx val="4"/>
          <c:order val="4"/>
          <c:tx>
            <c:strRef>
              <c:f>'Statistics - Children'!$W$228</c:f>
              <c:strCache>
                <c:ptCount val="1"/>
                <c:pt idx="0">
                  <c:v>Crisis care</c:v>
                </c:pt>
              </c:strCache>
            </c:strRef>
          </c:tx>
          <c:spPr>
            <a:solidFill>
              <a:srgbClr val="660066"/>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Children'!$W$229:$W$261</c:f>
              <c:numCache>
                <c:formatCode>0.00</c:formatCode>
                <c:ptCount val="33"/>
                <c:pt idx="0">
                  <c:v>0</c:v>
                </c:pt>
                <c:pt idx="1">
                  <c:v>0</c:v>
                </c:pt>
                <c:pt idx="2">
                  <c:v>0</c:v>
                </c:pt>
                <c:pt idx="3">
                  <c:v>0</c:v>
                </c:pt>
                <c:pt idx="4">
                  <c:v>0</c:v>
                </c:pt>
                <c:pt idx="5">
                  <c:v>0.2067568126369764</c:v>
                </c:pt>
                <c:pt idx="6">
                  <c:v>3.1319490118700867E-2</c:v>
                </c:pt>
                <c:pt idx="7">
                  <c:v>0</c:v>
                </c:pt>
                <c:pt idx="8">
                  <c:v>5.544774050457444E-2</c:v>
                </c:pt>
                <c:pt idx="9">
                  <c:v>0</c:v>
                </c:pt>
                <c:pt idx="10">
                  <c:v>0</c:v>
                </c:pt>
                <c:pt idx="11">
                  <c:v>0</c:v>
                </c:pt>
                <c:pt idx="12">
                  <c:v>0</c:v>
                </c:pt>
                <c:pt idx="13">
                  <c:v>0</c:v>
                </c:pt>
                <c:pt idx="14">
                  <c:v>0</c:v>
                </c:pt>
                <c:pt idx="15">
                  <c:v>0</c:v>
                </c:pt>
                <c:pt idx="16">
                  <c:v>0</c:v>
                </c:pt>
                <c:pt idx="17">
                  <c:v>0</c:v>
                </c:pt>
                <c:pt idx="18">
                  <c:v>1.7421889442625363E-2</c:v>
                </c:pt>
                <c:pt idx="19">
                  <c:v>0</c:v>
                </c:pt>
                <c:pt idx="20">
                  <c:v>0</c:v>
                </c:pt>
                <c:pt idx="21">
                  <c:v>0</c:v>
                </c:pt>
                <c:pt idx="22">
                  <c:v>0</c:v>
                </c:pt>
                <c:pt idx="23">
                  <c:v>0</c:v>
                </c:pt>
                <c:pt idx="24">
                  <c:v>0</c:v>
                </c:pt>
                <c:pt idx="25">
                  <c:v>0</c:v>
                </c:pt>
                <c:pt idx="26">
                  <c:v>0</c:v>
                </c:pt>
                <c:pt idx="27">
                  <c:v>0</c:v>
                </c:pt>
                <c:pt idx="28">
                  <c:v>0</c:v>
                </c:pt>
                <c:pt idx="29">
                  <c:v>0</c:v>
                </c:pt>
                <c:pt idx="30">
                  <c:v>4.4422726666962821E-2</c:v>
                </c:pt>
                <c:pt idx="31">
                  <c:v>0</c:v>
                </c:pt>
                <c:pt idx="32">
                  <c:v>0</c:v>
                </c:pt>
              </c:numCache>
            </c:numRef>
          </c:val>
        </c:ser>
        <c:ser>
          <c:idx val="5"/>
          <c:order val="5"/>
          <c:tx>
            <c:strRef>
              <c:f>'Statistics - Children'!$X$228</c:f>
              <c:strCache>
                <c:ptCount val="1"/>
                <c:pt idx="0">
                  <c:v>Other residential placement</c:v>
                </c:pt>
              </c:strCache>
            </c:strRef>
          </c:tx>
          <c:spPr>
            <a:solidFill>
              <a:srgbClr val="FFCC99"/>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Children'!$X$229:$X$261</c:f>
              <c:numCache>
                <c:formatCode>0.00</c:formatCode>
                <c:ptCount val="33"/>
                <c:pt idx="0">
                  <c:v>0</c:v>
                </c:pt>
                <c:pt idx="1">
                  <c:v>0.16889039013680121</c:v>
                </c:pt>
                <c:pt idx="2">
                  <c:v>0.75975321750910785</c:v>
                </c:pt>
                <c:pt idx="3">
                  <c:v>0</c:v>
                </c:pt>
                <c:pt idx="4">
                  <c:v>0.11217049915872125</c:v>
                </c:pt>
                <c:pt idx="5">
                  <c:v>0.24810817516437164</c:v>
                </c:pt>
                <c:pt idx="6">
                  <c:v>0.90826521344232514</c:v>
                </c:pt>
                <c:pt idx="7">
                  <c:v>0.38819875776397511</c:v>
                </c:pt>
                <c:pt idx="8">
                  <c:v>0.33268644302744665</c:v>
                </c:pt>
                <c:pt idx="9">
                  <c:v>0.33373381391002538</c:v>
                </c:pt>
                <c:pt idx="10">
                  <c:v>0.14733507679840879</c:v>
                </c:pt>
                <c:pt idx="11">
                  <c:v>0.83545862281241756</c:v>
                </c:pt>
                <c:pt idx="12">
                  <c:v>0.32578595862518323</c:v>
                </c:pt>
                <c:pt idx="13">
                  <c:v>0.55865921787709494</c:v>
                </c:pt>
                <c:pt idx="14">
                  <c:v>0.73879115297594311</c:v>
                </c:pt>
                <c:pt idx="15">
                  <c:v>0.3675119441381845</c:v>
                </c:pt>
                <c:pt idx="16">
                  <c:v>0</c:v>
                </c:pt>
                <c:pt idx="17">
                  <c:v>0.192</c:v>
                </c:pt>
                <c:pt idx="18">
                  <c:v>0.29036482404375608</c:v>
                </c:pt>
                <c:pt idx="19">
                  <c:v>0.3423987477988652</c:v>
                </c:pt>
                <c:pt idx="20">
                  <c:v>0.37359900373599003</c:v>
                </c:pt>
                <c:pt idx="21">
                  <c:v>0.202526518315992</c:v>
                </c:pt>
                <c:pt idx="22">
                  <c:v>0.51216389244558258</c:v>
                </c:pt>
                <c:pt idx="23">
                  <c:v>9.4590600059119123E-2</c:v>
                </c:pt>
                <c:pt idx="24">
                  <c:v>0</c:v>
                </c:pt>
                <c:pt idx="25">
                  <c:v>4.7512709649831335E-2</c:v>
                </c:pt>
                <c:pt idx="26">
                  <c:v>0</c:v>
                </c:pt>
                <c:pt idx="27">
                  <c:v>0.1409840688002256</c:v>
                </c:pt>
                <c:pt idx="28">
                  <c:v>0.41017227235438886</c:v>
                </c:pt>
                <c:pt idx="29">
                  <c:v>0</c:v>
                </c:pt>
                <c:pt idx="30">
                  <c:v>4.4422726666962821E-2</c:v>
                </c:pt>
                <c:pt idx="31">
                  <c:v>1.3883104262113009E-2</c:v>
                </c:pt>
                <c:pt idx="32">
                  <c:v>0</c:v>
                </c:pt>
              </c:numCache>
            </c:numRef>
          </c:val>
        </c:ser>
        <c:dLbls>
          <c:showLegendKey val="0"/>
          <c:showVal val="0"/>
          <c:showCatName val="0"/>
          <c:showSerName val="0"/>
          <c:showPercent val="0"/>
          <c:showBubbleSize val="0"/>
        </c:dLbls>
        <c:gapWidth val="150"/>
        <c:overlap val="100"/>
        <c:axId val="314629120"/>
        <c:axId val="314643200"/>
      </c:barChart>
      <c:lineChart>
        <c:grouping val="standard"/>
        <c:varyColors val="0"/>
        <c:ser>
          <c:idx val="6"/>
          <c:order val="6"/>
          <c:tx>
            <c:strRef>
              <c:f>'Statistics - Children'!$Z$228</c:f>
              <c:strCache>
                <c:ptCount val="1"/>
                <c:pt idx="0">
                  <c:v>Highlight</c:v>
                </c:pt>
              </c:strCache>
            </c:strRef>
          </c:tx>
          <c:spPr>
            <a:ln w="28575">
              <a:noFill/>
            </a:ln>
          </c:spPr>
          <c:marker>
            <c:symbol val="none"/>
          </c:marker>
          <c:dLbls>
            <c:spPr>
              <a:noFill/>
              <a:ln w="25400">
                <a:noFill/>
              </a:ln>
            </c:spPr>
            <c:txPr>
              <a:bodyPr rot="-5400000" vert="horz"/>
              <a:lstStyle/>
              <a:p>
                <a:pPr algn="ctr">
                  <a:defRPr sz="800" b="1" i="0" u="none" strike="noStrike" baseline="0">
                    <a:solidFill>
                      <a:srgbClr val="FF0000"/>
                    </a:solidFill>
                    <a:latin typeface="Calibri"/>
                    <a:ea typeface="Calibri"/>
                    <a:cs typeface="Calibri"/>
                  </a:defRPr>
                </a:pPr>
                <a:endParaRPr lang="en-US"/>
              </a:p>
            </c:txPr>
            <c:dLblPos val="b"/>
            <c:showLegendKey val="0"/>
            <c:showVal val="0"/>
            <c:showCatName val="1"/>
            <c:showSerName val="0"/>
            <c:showPercent val="0"/>
            <c:showBubbleSize val="0"/>
            <c:showLeaderLines val="0"/>
          </c:dLbls>
          <c:val>
            <c:numRef>
              <c:f>'Statistics - Children'!$Z$229:$Z$261</c:f>
              <c:numCache>
                <c:formatCode>General</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0</c:v>
                </c:pt>
                <c:pt idx="14">
                  <c:v>#N/A</c:v>
                </c:pt>
                <c:pt idx="15">
                  <c:v>#N/A</c:v>
                </c:pt>
                <c:pt idx="16">
                  <c:v>#N/A</c:v>
                </c:pt>
                <c:pt idx="17">
                  <c:v>#N/A</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7"/>
          <c:order val="7"/>
          <c:tx>
            <c:strRef>
              <c:f>'Statistics - Children'!$AA$228</c:f>
              <c:strCache>
                <c:ptCount val="1"/>
                <c:pt idx="0">
                  <c:v>Don't Highlight</c:v>
                </c:pt>
              </c:strCache>
            </c:strRef>
          </c:tx>
          <c:spPr>
            <a:ln w="28575">
              <a:noFill/>
            </a:ln>
          </c:spPr>
          <c:marker>
            <c:symbol val="none"/>
          </c:marker>
          <c:dLbls>
            <c:spPr>
              <a:noFill/>
              <a:ln w="25400">
                <a:noFill/>
              </a:ln>
            </c:spPr>
            <c:txPr>
              <a:bodyPr rot="-5400000" vert="horz"/>
              <a:lstStyle/>
              <a:p>
                <a:pPr algn="ctr">
                  <a:defRPr sz="800" b="0" i="0" u="none" strike="noStrike" baseline="0">
                    <a:solidFill>
                      <a:srgbClr val="000000"/>
                    </a:solidFill>
                    <a:latin typeface="Calibri"/>
                    <a:ea typeface="Calibri"/>
                    <a:cs typeface="Calibri"/>
                  </a:defRPr>
                </a:pPr>
                <a:endParaRPr lang="en-US"/>
              </a:p>
            </c:txPr>
            <c:dLblPos val="b"/>
            <c:showLegendKey val="0"/>
            <c:showVal val="0"/>
            <c:showCatName val="1"/>
            <c:showSerName val="0"/>
            <c:showPercent val="0"/>
            <c:showBubbleSize val="0"/>
            <c:showLeaderLines val="0"/>
          </c:dLbls>
          <c:val>
            <c:numRef>
              <c:f>'Statistics - Children'!$AA$229:$AA$261</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#N/A</c:v>
                </c:pt>
                <c:pt idx="14">
                  <c:v>0</c:v>
                </c:pt>
                <c:pt idx="15">
                  <c:v>0</c:v>
                </c:pt>
                <c:pt idx="16">
                  <c:v>0</c:v>
                </c:pt>
                <c:pt idx="17">
                  <c:v>0</c:v>
                </c:pt>
                <c:pt idx="18">
                  <c:v>#N/A</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14629120"/>
        <c:axId val="314643200"/>
      </c:lineChart>
      <c:catAx>
        <c:axId val="314629120"/>
        <c:scaling>
          <c:orientation val="minMax"/>
        </c:scaling>
        <c:delete val="0"/>
        <c:axPos val="b"/>
        <c:majorTickMark val="out"/>
        <c:minorTickMark val="none"/>
        <c:tickLblPos val="none"/>
        <c:spPr>
          <a:ln w="3175">
            <a:solidFill>
              <a:srgbClr val="000000"/>
            </a:solidFill>
            <a:prstDash val="solid"/>
          </a:ln>
        </c:spPr>
        <c:crossAx val="314643200"/>
        <c:crosses val="autoZero"/>
        <c:auto val="0"/>
        <c:lblAlgn val="ctr"/>
        <c:lblOffset val="100"/>
        <c:tickLblSkip val="1"/>
        <c:tickMarkSkip val="1"/>
        <c:noMultiLvlLbl val="0"/>
      </c:catAx>
      <c:valAx>
        <c:axId val="3146432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Rate per 1,000 population aged 0-17</a:t>
                </a:r>
              </a:p>
            </c:rich>
          </c:tx>
          <c:layout>
            <c:manualLayout>
              <c:xMode val="edge"/>
              <c:yMode val="edge"/>
              <c:x val="8.2236842105263153E-3"/>
              <c:y val="0.2574034753651268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4629120"/>
        <c:crosses val="autoZero"/>
        <c:crossBetween val="between"/>
      </c:valAx>
      <c:spPr>
        <a:noFill/>
        <a:ln w="25400">
          <a:noFill/>
        </a:ln>
      </c:spPr>
    </c:plotArea>
    <c:legend>
      <c:legendPos val="b"/>
      <c:legendEntry>
        <c:idx val="6"/>
        <c:delete val="1"/>
      </c:legendEntry>
      <c:legendEntry>
        <c:idx val="7"/>
        <c:delete val="1"/>
      </c:legendEntry>
      <c:layout>
        <c:manualLayout>
          <c:xMode val="edge"/>
          <c:yMode val="edge"/>
          <c:x val="0.13651315789473684"/>
          <c:y val="0.12072906366682942"/>
          <c:w val="0.73519736842105265"/>
          <c:h val="8.2004647018978485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Balance of care: Proportion of children looked after at and away from home, 2015</a:t>
            </a:r>
          </a:p>
        </c:rich>
      </c:tx>
      <c:layout>
        <c:manualLayout>
          <c:xMode val="edge"/>
          <c:yMode val="edge"/>
          <c:x val="0.12685347930836152"/>
          <c:y val="1.5822809259433808E-2"/>
        </c:manualLayout>
      </c:layout>
      <c:overlay val="0"/>
      <c:spPr>
        <a:noFill/>
        <a:ln w="25400">
          <a:noFill/>
        </a:ln>
      </c:spPr>
    </c:title>
    <c:autoTitleDeleted val="0"/>
    <c:plotArea>
      <c:layout>
        <c:manualLayout>
          <c:layoutTarget val="inner"/>
          <c:xMode val="edge"/>
          <c:yMode val="edge"/>
          <c:x val="0.10049431477675393"/>
          <c:y val="0.22468389148396009"/>
          <c:w val="0.87973711624240325"/>
          <c:h val="0.46519059222735398"/>
        </c:manualLayout>
      </c:layout>
      <c:barChart>
        <c:barDir val="col"/>
        <c:grouping val="percentStacked"/>
        <c:varyColors val="0"/>
        <c:ser>
          <c:idx val="1"/>
          <c:order val="0"/>
          <c:tx>
            <c:strRef>
              <c:f>'Statistics - Children'!$K$97</c:f>
              <c:strCache>
                <c:ptCount val="1"/>
                <c:pt idx="0">
                  <c:v>Away from home</c:v>
                </c:pt>
              </c:strCache>
            </c:strRef>
          </c:tx>
          <c:spPr>
            <a:solidFill>
              <a:srgbClr val="0000FF"/>
            </a:solidFill>
            <a:ln w="12700">
              <a:solidFill>
                <a:srgbClr val="000000"/>
              </a:solidFill>
              <a:prstDash val="solid"/>
            </a:ln>
          </c:spPr>
          <c:invertIfNegative val="0"/>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Children'!$K$98:$K$130</c:f>
              <c:numCache>
                <c:formatCode>0.0</c:formatCode>
                <c:ptCount val="33"/>
                <c:pt idx="0">
                  <c:v>7.8958304474303924</c:v>
                </c:pt>
                <c:pt idx="1">
                  <c:v>7.4931638197379167</c:v>
                </c:pt>
                <c:pt idx="2">
                  <c:v>11.402508551881414</c:v>
                </c:pt>
                <c:pt idx="3">
                  <c:v>11.564597720161546</c:v>
                </c:pt>
                <c:pt idx="4">
                  <c:v>24.467715065082476</c:v>
                </c:pt>
                <c:pt idx="5">
                  <c:v>11.252992817238628</c:v>
                </c:pt>
                <c:pt idx="6">
                  <c:v>16.538362370621385</c:v>
                </c:pt>
                <c:pt idx="7">
                  <c:v>6.482174021441037</c:v>
                </c:pt>
                <c:pt idx="8">
                  <c:v>8.3477713025673328</c:v>
                </c:pt>
                <c:pt idx="9">
                  <c:v>12.604197457877625</c:v>
                </c:pt>
                <c:pt idx="10">
                  <c:v>14.196762141967621</c:v>
                </c:pt>
                <c:pt idx="11">
                  <c:v>11.886127959303463</c:v>
                </c:pt>
                <c:pt idx="12">
                  <c:v>5.4979177321545984</c:v>
                </c:pt>
                <c:pt idx="13">
                  <c:v>10.877066308679101</c:v>
                </c:pt>
                <c:pt idx="14">
                  <c:v>15.594212689297979</c:v>
                </c:pt>
                <c:pt idx="15">
                  <c:v>7.5519999999999996</c:v>
                </c:pt>
                <c:pt idx="16">
                  <c:v>5.7965505772794224</c:v>
                </c:pt>
                <c:pt idx="17">
                  <c:v>7.7466393255866945</c:v>
                </c:pt>
                <c:pt idx="18">
                  <c:v>8.4280565566953154</c:v>
                </c:pt>
                <c:pt idx="19">
                  <c:v>6.7276404889631518</c:v>
                </c:pt>
                <c:pt idx="20">
                  <c:v>13.684006211180124</c:v>
                </c:pt>
                <c:pt idx="21">
                  <c:v>6.8612246816109774</c:v>
                </c:pt>
                <c:pt idx="22">
                  <c:v>13.4968605128807</c:v>
                </c:pt>
                <c:pt idx="23">
                  <c:v>7.673275079081713</c:v>
                </c:pt>
                <c:pt idx="24">
                  <c:v>5.8194678884334055</c:v>
                </c:pt>
                <c:pt idx="25">
                  <c:v>4.7169811320754711</c:v>
                </c:pt>
                <c:pt idx="26">
                  <c:v>7.4630180800497534</c:v>
                </c:pt>
                <c:pt idx="27">
                  <c:v>14.993456720882408</c:v>
                </c:pt>
                <c:pt idx="28">
                  <c:v>8.6770791616606591</c:v>
                </c:pt>
                <c:pt idx="29">
                  <c:v>5.983617936970707</c:v>
                </c:pt>
                <c:pt idx="30">
                  <c:v>5.7596822244289978</c:v>
                </c:pt>
                <c:pt idx="31">
                  <c:v>8.6702030364002187</c:v>
                </c:pt>
                <c:pt idx="32">
                  <c:v>3.4244923551825592</c:v>
                </c:pt>
              </c:numCache>
            </c:numRef>
          </c:val>
        </c:ser>
        <c:ser>
          <c:idx val="0"/>
          <c:order val="1"/>
          <c:tx>
            <c:strRef>
              <c:f>'Statistics - Children'!$L$97</c:f>
              <c:strCache>
                <c:ptCount val="1"/>
                <c:pt idx="0">
                  <c:v>At home</c:v>
                </c:pt>
              </c:strCache>
            </c:strRef>
          </c:tx>
          <c:spPr>
            <a:solidFill>
              <a:srgbClr val="FF0000"/>
            </a:solidFill>
            <a:ln w="12700">
              <a:solidFill>
                <a:srgbClr val="000000"/>
              </a:solidFill>
              <a:prstDash val="solid"/>
            </a:ln>
          </c:spPr>
          <c:invertIfNegative val="0"/>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Children'!$L$98:$L$130</c:f>
              <c:numCache>
                <c:formatCode>0.0</c:formatCode>
                <c:ptCount val="33"/>
                <c:pt idx="0">
                  <c:v>1.3852334118298935</c:v>
                </c:pt>
                <c:pt idx="1">
                  <c:v>1.5625554884761532</c:v>
                </c:pt>
                <c:pt idx="2">
                  <c:v>2.4433946896888745</c:v>
                </c:pt>
                <c:pt idx="3">
                  <c:v>2.5362169016802434</c:v>
                </c:pt>
                <c:pt idx="4">
                  <c:v>6.7462424253519577</c:v>
                </c:pt>
                <c:pt idx="5">
                  <c:v>3.3519553072625698</c:v>
                </c:pt>
                <c:pt idx="6">
                  <c:v>5.0093926111458984</c:v>
                </c:pt>
                <c:pt idx="7">
                  <c:v>1.9945150835203191</c:v>
                </c:pt>
                <c:pt idx="8">
                  <c:v>2.6250853152727465</c:v>
                </c:pt>
                <c:pt idx="9">
                  <c:v>4.173810227608632</c:v>
                </c:pt>
                <c:pt idx="10">
                  <c:v>4.9398090493980904</c:v>
                </c:pt>
                <c:pt idx="11">
                  <c:v>4.2555272940716105</c:v>
                </c:pt>
                <c:pt idx="12">
                  <c:v>2.0092058157375612</c:v>
                </c:pt>
                <c:pt idx="13">
                  <c:v>4.0321995232209593</c:v>
                </c:pt>
                <c:pt idx="14">
                  <c:v>6.1363508416371113</c:v>
                </c:pt>
                <c:pt idx="15">
                  <c:v>3.1360000000000001</c:v>
                </c:pt>
                <c:pt idx="16">
                  <c:v>2.4231481921413978</c:v>
                </c:pt>
                <c:pt idx="17">
                  <c:v>3.240424293055872</c:v>
                </c:pt>
                <c:pt idx="18">
                  <c:v>3.5486553922927642</c:v>
                </c:pt>
                <c:pt idx="19">
                  <c:v>2.8801336733796497</c:v>
                </c:pt>
                <c:pt idx="20">
                  <c:v>5.9200310559006208</c:v>
                </c:pt>
                <c:pt idx="21">
                  <c:v>3.0076601344048122</c:v>
                </c:pt>
                <c:pt idx="22">
                  <c:v>6.5137022475206852</c:v>
                </c:pt>
                <c:pt idx="23">
                  <c:v>3.7270193241254033</c:v>
                </c:pt>
                <c:pt idx="24">
                  <c:v>2.9901133349409212</c:v>
                </c:pt>
                <c:pt idx="25">
                  <c:v>2.4610336341263332</c:v>
                </c:pt>
                <c:pt idx="26">
                  <c:v>4.131313580027542</c:v>
                </c:pt>
                <c:pt idx="27">
                  <c:v>8.8988595999252187</c:v>
                </c:pt>
                <c:pt idx="28">
                  <c:v>5.2729942597784003</c:v>
                </c:pt>
                <c:pt idx="29">
                  <c:v>3.6929057337220605</c:v>
                </c:pt>
                <c:pt idx="30">
                  <c:v>3.5749751737835154</c:v>
                </c:pt>
                <c:pt idx="31">
                  <c:v>6.2922992500457289</c:v>
                </c:pt>
                <c:pt idx="32">
                  <c:v>3.6174215019534075</c:v>
                </c:pt>
              </c:numCache>
            </c:numRef>
          </c:val>
        </c:ser>
        <c:dLbls>
          <c:showLegendKey val="0"/>
          <c:showVal val="0"/>
          <c:showCatName val="0"/>
          <c:showSerName val="0"/>
          <c:showPercent val="0"/>
          <c:showBubbleSize val="0"/>
        </c:dLbls>
        <c:gapWidth val="150"/>
        <c:overlap val="100"/>
        <c:axId val="314677120"/>
        <c:axId val="314678656"/>
      </c:barChart>
      <c:lineChart>
        <c:grouping val="standard"/>
        <c:varyColors val="0"/>
        <c:ser>
          <c:idx val="2"/>
          <c:order val="2"/>
          <c:tx>
            <c:strRef>
              <c:f>'Statistics - Children'!$O$97</c:f>
              <c:strCache>
                <c:ptCount val="1"/>
                <c:pt idx="0">
                  <c:v>Highlight</c:v>
                </c:pt>
              </c:strCache>
            </c:strRef>
          </c:tx>
          <c:spPr>
            <a:ln w="28575">
              <a:noFill/>
            </a:ln>
          </c:spPr>
          <c:marker>
            <c:symbol val="none"/>
          </c:marker>
          <c:dLbls>
            <c:spPr>
              <a:noFill/>
              <a:ln w="25400">
                <a:noFill/>
              </a:ln>
            </c:spPr>
            <c:txPr>
              <a:bodyPr rot="-5400000" vert="horz"/>
              <a:lstStyle/>
              <a:p>
                <a:pPr algn="ctr">
                  <a:defRPr sz="800" b="1" i="0" u="none" strike="noStrike" baseline="0">
                    <a:solidFill>
                      <a:srgbClr val="FF0000"/>
                    </a:solidFill>
                    <a:latin typeface="Calibri"/>
                    <a:ea typeface="Calibri"/>
                    <a:cs typeface="Calibri"/>
                  </a:defRPr>
                </a:pPr>
                <a:endParaRPr lang="en-US"/>
              </a:p>
            </c:txPr>
            <c:dLblPos val="b"/>
            <c:showLegendKey val="0"/>
            <c:showVal val="0"/>
            <c:showCatName val="1"/>
            <c:showSerName val="0"/>
            <c:showPercent val="0"/>
            <c:showBubbleSize val="0"/>
            <c:showLeaderLines val="0"/>
          </c:dLbls>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Children'!$O$98:$O$130</c:f>
              <c:numCache>
                <c:formatCode>General</c:formatCode>
                <c:ptCount val="33"/>
                <c:pt idx="0">
                  <c:v>#N/A</c:v>
                </c:pt>
                <c:pt idx="1">
                  <c:v>#N/A</c:v>
                </c:pt>
                <c:pt idx="2">
                  <c:v>#N/A</c:v>
                </c:pt>
                <c:pt idx="3">
                  <c:v>#N/A</c:v>
                </c:pt>
                <c:pt idx="4">
                  <c:v>#N/A</c:v>
                </c:pt>
                <c:pt idx="5">
                  <c:v>0</c:v>
                </c:pt>
                <c:pt idx="6">
                  <c:v>#N/A</c:v>
                </c:pt>
                <c:pt idx="7">
                  <c:v>#N/A</c:v>
                </c:pt>
                <c:pt idx="8">
                  <c:v>#N/A</c:v>
                </c:pt>
                <c:pt idx="9">
                  <c:v>#N/A</c:v>
                </c:pt>
                <c:pt idx="10">
                  <c:v>#N/A</c:v>
                </c:pt>
                <c:pt idx="11">
                  <c:v>#N/A</c:v>
                </c:pt>
                <c:pt idx="12">
                  <c:v>#N/A</c:v>
                </c:pt>
                <c:pt idx="13">
                  <c:v>0</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3"/>
          <c:order val="3"/>
          <c:tx>
            <c:strRef>
              <c:f>'Statistics - Children'!$P$97</c:f>
              <c:strCache>
                <c:ptCount val="1"/>
                <c:pt idx="0">
                  <c:v>Don't Highlight</c:v>
                </c:pt>
              </c:strCache>
            </c:strRef>
          </c:tx>
          <c:spPr>
            <a:ln w="28575">
              <a:noFill/>
            </a:ln>
          </c:spPr>
          <c:marker>
            <c:symbol val="none"/>
          </c:marker>
          <c:dLbls>
            <c:spPr>
              <a:noFill/>
              <a:ln w="25400">
                <a:noFill/>
              </a:ln>
            </c:spPr>
            <c:txPr>
              <a:bodyPr rot="-5400000" vert="horz"/>
              <a:lstStyle/>
              <a:p>
                <a:pPr algn="ctr">
                  <a:defRPr sz="800" b="0" i="0" u="none" strike="noStrike" baseline="0">
                    <a:solidFill>
                      <a:srgbClr val="000000"/>
                    </a:solidFill>
                    <a:latin typeface="Calibri"/>
                    <a:ea typeface="Calibri"/>
                    <a:cs typeface="Calibri"/>
                  </a:defRPr>
                </a:pPr>
                <a:endParaRPr lang="en-US"/>
              </a:p>
            </c:txPr>
            <c:dLblPos val="b"/>
            <c:showLegendKey val="0"/>
            <c:showVal val="0"/>
            <c:showCatName val="1"/>
            <c:showSerName val="0"/>
            <c:showPercent val="0"/>
            <c:showBubbleSize val="0"/>
            <c:showLeaderLines val="0"/>
          </c:dLbls>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Children'!$P$98:$P$130</c:f>
              <c:numCache>
                <c:formatCode>General</c:formatCode>
                <c:ptCount val="33"/>
                <c:pt idx="0">
                  <c:v>0</c:v>
                </c:pt>
                <c:pt idx="1">
                  <c:v>0</c:v>
                </c:pt>
                <c:pt idx="2">
                  <c:v>0</c:v>
                </c:pt>
                <c:pt idx="3">
                  <c:v>0</c:v>
                </c:pt>
                <c:pt idx="4">
                  <c:v>0</c:v>
                </c:pt>
                <c:pt idx="5">
                  <c:v>#N/A</c:v>
                </c:pt>
                <c:pt idx="6">
                  <c:v>0</c:v>
                </c:pt>
                <c:pt idx="7">
                  <c:v>0</c:v>
                </c:pt>
                <c:pt idx="8">
                  <c:v>0</c:v>
                </c:pt>
                <c:pt idx="9">
                  <c:v>0</c:v>
                </c:pt>
                <c:pt idx="10">
                  <c:v>0</c:v>
                </c:pt>
                <c:pt idx="11">
                  <c:v>0</c:v>
                </c:pt>
                <c:pt idx="12">
                  <c:v>0</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14677120"/>
        <c:axId val="314678656"/>
      </c:lineChart>
      <c:catAx>
        <c:axId val="314677120"/>
        <c:scaling>
          <c:orientation val="minMax"/>
        </c:scaling>
        <c:delete val="0"/>
        <c:axPos val="b"/>
        <c:majorTickMark val="out"/>
        <c:minorTickMark val="none"/>
        <c:tickLblPos val="none"/>
        <c:spPr>
          <a:ln w="3175">
            <a:solidFill>
              <a:srgbClr val="000000"/>
            </a:solidFill>
            <a:prstDash val="solid"/>
          </a:ln>
        </c:spPr>
        <c:crossAx val="314678656"/>
        <c:crosses val="autoZero"/>
        <c:auto val="0"/>
        <c:lblAlgn val="ctr"/>
        <c:lblOffset val="100"/>
        <c:tickLblSkip val="1"/>
        <c:tickMarkSkip val="1"/>
        <c:noMultiLvlLbl val="0"/>
      </c:catAx>
      <c:valAx>
        <c:axId val="31467865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4677120"/>
        <c:crosses val="autoZero"/>
        <c:crossBetween val="between"/>
      </c:valAx>
      <c:spPr>
        <a:noFill/>
        <a:ln w="25400">
          <a:noFill/>
        </a:ln>
      </c:spPr>
    </c:plotArea>
    <c:legend>
      <c:legendPos val="b"/>
      <c:legendEntry>
        <c:idx val="2"/>
        <c:delete val="1"/>
      </c:legendEntry>
      <c:legendEntry>
        <c:idx val="3"/>
        <c:delete val="1"/>
      </c:legendEntry>
      <c:layout>
        <c:manualLayout>
          <c:xMode val="edge"/>
          <c:yMode val="edge"/>
          <c:x val="0.28336101871478159"/>
          <c:y val="0.15189896889056456"/>
          <c:w val="0.41021449802314308"/>
          <c:h val="6.96203607415087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Movement: Children and families social work expenditure (gross)</a:t>
            </a:r>
          </a:p>
        </c:rich>
      </c:tx>
      <c:layout>
        <c:manualLayout>
          <c:xMode val="edge"/>
          <c:yMode val="edge"/>
          <c:x val="0.13493542677715131"/>
          <c:y val="2.6615969581749048E-2"/>
        </c:manualLayout>
      </c:layout>
      <c:overlay val="0"/>
      <c:spPr>
        <a:noFill/>
        <a:ln w="25400">
          <a:noFill/>
        </a:ln>
      </c:spPr>
    </c:title>
    <c:autoTitleDeleted val="0"/>
    <c:plotArea>
      <c:layout>
        <c:manualLayout>
          <c:layoutTarget val="inner"/>
          <c:xMode val="edge"/>
          <c:yMode val="edge"/>
          <c:x val="0.12384484375437174"/>
          <c:y val="0.19391634980988592"/>
          <c:w val="0.80776413015911119"/>
          <c:h val="0.59315589353612164"/>
        </c:manualLayout>
      </c:layout>
      <c:lineChart>
        <c:grouping val="standard"/>
        <c:varyColors val="0"/>
        <c:ser>
          <c:idx val="1"/>
          <c:order val="0"/>
          <c:tx>
            <c:strRef>
              <c:f>Scotland!$J$120:$K$120</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Scotland!$L$118:$Q$118</c:f>
              <c:strCache>
                <c:ptCount val="6"/>
                <c:pt idx="0">
                  <c:v>2003/04 (base)</c:v>
                </c:pt>
                <c:pt idx="1">
                  <c:v>2004/05</c:v>
                </c:pt>
                <c:pt idx="2">
                  <c:v>2005/06</c:v>
                </c:pt>
                <c:pt idx="3">
                  <c:v>2006/07</c:v>
                </c:pt>
                <c:pt idx="4">
                  <c:v>2007/08</c:v>
                </c:pt>
                <c:pt idx="5">
                  <c:v>2008/09</c:v>
                </c:pt>
              </c:strCache>
            </c:strRef>
          </c:cat>
          <c:val>
            <c:numRef>
              <c:f>Scotland!$L$120:$Q$120</c:f>
              <c:numCache>
                <c:formatCode>0%</c:formatCode>
                <c:ptCount val="6"/>
                <c:pt idx="0">
                  <c:v>0</c:v>
                </c:pt>
                <c:pt idx="1">
                  <c:v>5.4733777606012168E-2</c:v>
                </c:pt>
                <c:pt idx="2">
                  <c:v>0.100377514959896</c:v>
                </c:pt>
                <c:pt idx="3">
                  <c:v>0.12783067186412778</c:v>
                </c:pt>
                <c:pt idx="4">
                  <c:v>0.17033231791444847</c:v>
                </c:pt>
                <c:pt idx="5">
                  <c:v>0.14784756326096438</c:v>
                </c:pt>
              </c:numCache>
            </c:numRef>
          </c:val>
          <c:smooth val="0"/>
        </c:ser>
        <c:dLbls>
          <c:showLegendKey val="0"/>
          <c:showVal val="0"/>
          <c:showCatName val="0"/>
          <c:showSerName val="0"/>
          <c:showPercent val="0"/>
          <c:showBubbleSize val="0"/>
        </c:dLbls>
        <c:marker val="1"/>
        <c:smooth val="0"/>
        <c:axId val="344355200"/>
        <c:axId val="344357120"/>
      </c:lineChart>
      <c:catAx>
        <c:axId val="34435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357120"/>
        <c:crosses val="autoZero"/>
        <c:auto val="1"/>
        <c:lblAlgn val="ctr"/>
        <c:lblOffset val="100"/>
        <c:tickLblSkip val="1"/>
        <c:tickMarkSkip val="1"/>
        <c:noMultiLvlLbl val="0"/>
      </c:catAx>
      <c:valAx>
        <c:axId val="34435712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Change</a:t>
                </a:r>
              </a:p>
            </c:rich>
          </c:tx>
          <c:layout>
            <c:manualLayout>
              <c:xMode val="edge"/>
              <c:yMode val="edge"/>
              <c:x val="1.1090583022779559E-2"/>
              <c:y val="0.2433460076045627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355200"/>
        <c:crosses val="autoZero"/>
        <c:crossBetween val="between"/>
      </c:valAx>
      <c:spPr>
        <a:noFill/>
        <a:ln w="25400">
          <a:noFill/>
        </a:ln>
      </c:spPr>
    </c:plotArea>
    <c:legend>
      <c:legendPos val="r"/>
      <c:layout>
        <c:manualLayout>
          <c:xMode val="edge"/>
          <c:yMode val="edge"/>
          <c:x val="0.45471390393396194"/>
          <c:y val="0.90114068441064643"/>
          <c:w val="0.1645103148378968"/>
          <c:h val="8.7452471482889732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Movement: Older people social work expenditure (gross)</a:t>
            </a:r>
          </a:p>
        </c:rich>
      </c:tx>
      <c:layout>
        <c:manualLayout>
          <c:xMode val="edge"/>
          <c:yMode val="edge"/>
          <c:x val="0.13837638376383765"/>
          <c:y val="1.6891891891891893E-2"/>
        </c:manualLayout>
      </c:layout>
      <c:overlay val="0"/>
      <c:spPr>
        <a:noFill/>
        <a:ln w="25400">
          <a:noFill/>
        </a:ln>
      </c:spPr>
    </c:title>
    <c:autoTitleDeleted val="0"/>
    <c:plotArea>
      <c:layout>
        <c:manualLayout>
          <c:layoutTarget val="inner"/>
          <c:xMode val="edge"/>
          <c:yMode val="edge"/>
          <c:x val="0.11254612546125461"/>
          <c:y val="0.1554054054054054"/>
          <c:w val="0.85424354243542433"/>
          <c:h val="0.66554054054054057"/>
        </c:manualLayout>
      </c:layout>
      <c:lineChart>
        <c:grouping val="standard"/>
        <c:varyColors val="0"/>
        <c:ser>
          <c:idx val="1"/>
          <c:order val="0"/>
          <c:tx>
            <c:strRef>
              <c:f>Scotland!$J$412:$K$412</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Scotland!$L$410:$Q$410</c:f>
              <c:strCache>
                <c:ptCount val="6"/>
                <c:pt idx="0">
                  <c:v>2003/04 (base)</c:v>
                </c:pt>
                <c:pt idx="1">
                  <c:v>2004/05</c:v>
                </c:pt>
                <c:pt idx="2">
                  <c:v>2005/06</c:v>
                </c:pt>
                <c:pt idx="3">
                  <c:v>2006/07</c:v>
                </c:pt>
                <c:pt idx="4">
                  <c:v>2007/08</c:v>
                </c:pt>
                <c:pt idx="5">
                  <c:v>2008/09</c:v>
                </c:pt>
              </c:strCache>
            </c:strRef>
          </c:cat>
          <c:val>
            <c:numRef>
              <c:f>Scotland!$L$412:$Q$412</c:f>
              <c:numCache>
                <c:formatCode>0%</c:formatCode>
                <c:ptCount val="6"/>
                <c:pt idx="0">
                  <c:v>0</c:v>
                </c:pt>
                <c:pt idx="1">
                  <c:v>4.822141491305465E-2</c:v>
                </c:pt>
                <c:pt idx="2">
                  <c:v>9.6412296088075777E-2</c:v>
                </c:pt>
                <c:pt idx="3">
                  <c:v>0.13419112455462789</c:v>
                </c:pt>
                <c:pt idx="4">
                  <c:v>0.1458517412208955</c:v>
                </c:pt>
                <c:pt idx="5">
                  <c:v>0.12074151465138305</c:v>
                </c:pt>
              </c:numCache>
            </c:numRef>
          </c:val>
          <c:smooth val="0"/>
        </c:ser>
        <c:dLbls>
          <c:showLegendKey val="0"/>
          <c:showVal val="0"/>
          <c:showCatName val="0"/>
          <c:showSerName val="0"/>
          <c:showPercent val="0"/>
          <c:showBubbleSize val="0"/>
        </c:dLbls>
        <c:marker val="1"/>
        <c:smooth val="0"/>
        <c:axId val="344373504"/>
        <c:axId val="344383872"/>
      </c:lineChart>
      <c:catAx>
        <c:axId val="34437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383872"/>
        <c:crosses val="autoZero"/>
        <c:auto val="1"/>
        <c:lblAlgn val="ctr"/>
        <c:lblOffset val="100"/>
        <c:tickLblSkip val="1"/>
        <c:tickMarkSkip val="1"/>
        <c:noMultiLvlLbl val="0"/>
      </c:catAx>
      <c:valAx>
        <c:axId val="344383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Change</a:t>
                </a:r>
              </a:p>
            </c:rich>
          </c:tx>
          <c:layout>
            <c:manualLayout>
              <c:xMode val="edge"/>
              <c:yMode val="edge"/>
              <c:x val="9.2250922509225092E-3"/>
              <c:y val="0.2668918918918918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373504"/>
        <c:crosses val="autoZero"/>
        <c:crossBetween val="between"/>
      </c:valAx>
      <c:spPr>
        <a:noFill/>
        <a:ln w="25400">
          <a:noFill/>
        </a:ln>
      </c:spPr>
    </c:plotArea>
    <c:legend>
      <c:legendPos val="r"/>
      <c:layout>
        <c:manualLayout>
          <c:xMode val="edge"/>
          <c:yMode val="edge"/>
          <c:x val="0.42250922509225092"/>
          <c:y val="0.8716216216216216"/>
          <c:w val="0.16420664206642066"/>
          <c:h val="7.7702702702702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Movement: Learning disabilities social work expenditure (gross)</a:t>
            </a:r>
          </a:p>
        </c:rich>
      </c:tx>
      <c:layout>
        <c:manualLayout>
          <c:xMode val="edge"/>
          <c:yMode val="edge"/>
          <c:x val="0.13186836772473051"/>
          <c:y val="3.5587188612099648E-2"/>
        </c:manualLayout>
      </c:layout>
      <c:overlay val="0"/>
      <c:spPr>
        <a:noFill/>
        <a:ln w="25400">
          <a:noFill/>
        </a:ln>
      </c:spPr>
    </c:title>
    <c:autoTitleDeleted val="0"/>
    <c:plotArea>
      <c:layout>
        <c:manualLayout>
          <c:layoutTarget val="inner"/>
          <c:xMode val="edge"/>
          <c:yMode val="edge"/>
          <c:x val="0.12454234729557881"/>
          <c:y val="0.199288256227758"/>
          <c:w val="0.81868278295770192"/>
          <c:h val="0.60142348754448394"/>
        </c:manualLayout>
      </c:layout>
      <c:lineChart>
        <c:grouping val="standard"/>
        <c:varyColors val="0"/>
        <c:ser>
          <c:idx val="1"/>
          <c:order val="0"/>
          <c:tx>
            <c:strRef>
              <c:f>Scotland!$J$731:$K$731</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Scotland!$L$729:$Q$729</c:f>
              <c:strCache>
                <c:ptCount val="6"/>
                <c:pt idx="0">
                  <c:v>2003/04 (base)</c:v>
                </c:pt>
                <c:pt idx="1">
                  <c:v>2004/05</c:v>
                </c:pt>
                <c:pt idx="2">
                  <c:v>2005/06</c:v>
                </c:pt>
                <c:pt idx="3">
                  <c:v>2006/07</c:v>
                </c:pt>
                <c:pt idx="4">
                  <c:v>2007/08</c:v>
                </c:pt>
                <c:pt idx="5">
                  <c:v>2008/09</c:v>
                </c:pt>
              </c:strCache>
            </c:strRef>
          </c:cat>
          <c:val>
            <c:numRef>
              <c:f>Scotland!$L$731:$Q$731</c:f>
              <c:numCache>
                <c:formatCode>0%</c:formatCode>
                <c:ptCount val="6"/>
                <c:pt idx="0">
                  <c:v>0</c:v>
                </c:pt>
                <c:pt idx="1">
                  <c:v>2.9874825328070287E-2</c:v>
                </c:pt>
                <c:pt idx="2">
                  <c:v>6.8520887472616643E-2</c:v>
                </c:pt>
                <c:pt idx="3">
                  <c:v>0.1594983482338328</c:v>
                </c:pt>
                <c:pt idx="4">
                  <c:v>0.19764637898894688</c:v>
                </c:pt>
                <c:pt idx="5">
                  <c:v>0.20362620908118667</c:v>
                </c:pt>
              </c:numCache>
            </c:numRef>
          </c:val>
          <c:smooth val="0"/>
        </c:ser>
        <c:dLbls>
          <c:showLegendKey val="0"/>
          <c:showVal val="0"/>
          <c:showCatName val="0"/>
          <c:showSerName val="0"/>
          <c:showPercent val="0"/>
          <c:showBubbleSize val="0"/>
        </c:dLbls>
        <c:marker val="1"/>
        <c:smooth val="0"/>
        <c:axId val="192504192"/>
        <c:axId val="192506112"/>
      </c:lineChart>
      <c:catAx>
        <c:axId val="192504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506112"/>
        <c:crosses val="autoZero"/>
        <c:auto val="1"/>
        <c:lblAlgn val="ctr"/>
        <c:lblOffset val="100"/>
        <c:tickLblSkip val="1"/>
        <c:tickMarkSkip val="1"/>
        <c:noMultiLvlLbl val="0"/>
      </c:catAx>
      <c:valAx>
        <c:axId val="1925061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Change</a:t>
                </a:r>
              </a:p>
            </c:rich>
          </c:tx>
          <c:layout>
            <c:manualLayout>
              <c:xMode val="edge"/>
              <c:yMode val="edge"/>
              <c:x val="1.2820535751015466E-2"/>
              <c:y val="0.26690391459074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504192"/>
        <c:crosses val="autoZero"/>
        <c:crossBetween val="between"/>
      </c:valAx>
      <c:spPr>
        <a:noFill/>
        <a:ln w="25400">
          <a:noFill/>
        </a:ln>
      </c:spPr>
    </c:plotArea>
    <c:legend>
      <c:legendPos val="r"/>
      <c:layout>
        <c:manualLayout>
          <c:xMode val="edge"/>
          <c:yMode val="edge"/>
          <c:x val="0.44505574107096546"/>
          <c:y val="0.89323843416370108"/>
          <c:w val="0.16849846987048897"/>
          <c:h val="8.540925266903914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Movement: Total social work expenditure (gross)</a:t>
            </a:r>
          </a:p>
        </c:rich>
      </c:tx>
      <c:layout>
        <c:manualLayout>
          <c:xMode val="edge"/>
          <c:yMode val="edge"/>
          <c:x val="0.24754118175363549"/>
          <c:y val="3.7671295870504919E-2"/>
        </c:manualLayout>
      </c:layout>
      <c:overlay val="0"/>
      <c:spPr>
        <a:noFill/>
        <a:ln w="25400">
          <a:noFill/>
        </a:ln>
      </c:spPr>
    </c:title>
    <c:autoTitleDeleted val="0"/>
    <c:plotArea>
      <c:layout>
        <c:manualLayout>
          <c:layoutTarget val="inner"/>
          <c:xMode val="edge"/>
          <c:yMode val="edge"/>
          <c:x val="9.5082043322588475E-2"/>
          <c:y val="0.16438383652583965"/>
          <c:w val="0.86885315449951528"/>
          <c:h val="0.58219275436234874"/>
        </c:manualLayout>
      </c:layout>
      <c:lineChart>
        <c:grouping val="standard"/>
        <c:varyColors val="0"/>
        <c:ser>
          <c:idx val="0"/>
          <c:order val="0"/>
          <c:tx>
            <c:strRef>
              <c:f>Cover!$M$50:$N$50</c:f>
              <c:strCache>
                <c:ptCount val="1"/>
                <c:pt idx="0">
                  <c:v>Aberdeen City</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Cover!$O$49:$W$49</c:f>
              <c:strCache>
                <c:ptCount val="9"/>
                <c:pt idx="0">
                  <c:v>2006/07 (base)</c:v>
                </c:pt>
                <c:pt idx="1">
                  <c:v>2007/08</c:v>
                </c:pt>
                <c:pt idx="2">
                  <c:v>2008/09</c:v>
                </c:pt>
                <c:pt idx="3">
                  <c:v>2009/10</c:v>
                </c:pt>
                <c:pt idx="4">
                  <c:v>2010/11</c:v>
                </c:pt>
                <c:pt idx="5">
                  <c:v>2011/12</c:v>
                </c:pt>
                <c:pt idx="6">
                  <c:v>2012/13</c:v>
                </c:pt>
                <c:pt idx="7">
                  <c:v>2013/14</c:v>
                </c:pt>
                <c:pt idx="8">
                  <c:v>2014/15</c:v>
                </c:pt>
              </c:strCache>
            </c:strRef>
          </c:cat>
          <c:val>
            <c:numRef>
              <c:f>Cover!$O$50:$W$50</c:f>
              <c:numCache>
                <c:formatCode>0%</c:formatCode>
                <c:ptCount val="9"/>
                <c:pt idx="0">
                  <c:v>0</c:v>
                </c:pt>
                <c:pt idx="1">
                  <c:v>-3.6978894665442574E-3</c:v>
                </c:pt>
                <c:pt idx="2">
                  <c:v>7.3644771626759642E-3</c:v>
                </c:pt>
                <c:pt idx="3">
                  <c:v>-9.341481918476946E-3</c:v>
                </c:pt>
                <c:pt idx="4">
                  <c:v>3.0294773093593186E-3</c:v>
                </c:pt>
                <c:pt idx="5">
                  <c:v>-6.3995272311512252E-3</c:v>
                </c:pt>
                <c:pt idx="6">
                  <c:v>2.1310319248484921E-2</c:v>
                </c:pt>
                <c:pt idx="7">
                  <c:v>2.2185077175749024E-2</c:v>
                </c:pt>
                <c:pt idx="8">
                  <c:v>1.8328538606483535E-2</c:v>
                </c:pt>
              </c:numCache>
            </c:numRef>
          </c:val>
          <c:smooth val="0"/>
        </c:ser>
        <c:ser>
          <c:idx val="1"/>
          <c:order val="1"/>
          <c:tx>
            <c:strRef>
              <c:f>Cover!$M$51:$N$51</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Cover!$O$49:$W$49</c:f>
              <c:strCache>
                <c:ptCount val="9"/>
                <c:pt idx="0">
                  <c:v>2006/07 (base)</c:v>
                </c:pt>
                <c:pt idx="1">
                  <c:v>2007/08</c:v>
                </c:pt>
                <c:pt idx="2">
                  <c:v>2008/09</c:v>
                </c:pt>
                <c:pt idx="3">
                  <c:v>2009/10</c:v>
                </c:pt>
                <c:pt idx="4">
                  <c:v>2010/11</c:v>
                </c:pt>
                <c:pt idx="5">
                  <c:v>2011/12</c:v>
                </c:pt>
                <c:pt idx="6">
                  <c:v>2012/13</c:v>
                </c:pt>
                <c:pt idx="7">
                  <c:v>2013/14</c:v>
                </c:pt>
                <c:pt idx="8">
                  <c:v>2014/15</c:v>
                </c:pt>
              </c:strCache>
            </c:strRef>
          </c:cat>
          <c:val>
            <c:numRef>
              <c:f>Cover!$O$51:$W$51</c:f>
              <c:numCache>
                <c:formatCode>0%</c:formatCode>
                <c:ptCount val="9"/>
                <c:pt idx="0">
                  <c:v>0</c:v>
                </c:pt>
                <c:pt idx="1">
                  <c:v>3.6484638981591599E-2</c:v>
                </c:pt>
                <c:pt idx="2">
                  <c:v>7.8264586173784734E-2</c:v>
                </c:pt>
                <c:pt idx="3">
                  <c:v>9.9854351387284712E-2</c:v>
                </c:pt>
                <c:pt idx="4">
                  <c:v>8.2706818619899591E-2</c:v>
                </c:pt>
                <c:pt idx="5">
                  <c:v>8.268975510021237E-2</c:v>
                </c:pt>
                <c:pt idx="6">
                  <c:v>9.8161795457000878E-2</c:v>
                </c:pt>
                <c:pt idx="7">
                  <c:v>9.5505118309876735E-2</c:v>
                </c:pt>
                <c:pt idx="8">
                  <c:v>0.10482981616210574</c:v>
                </c:pt>
              </c:numCache>
            </c:numRef>
          </c:val>
          <c:smooth val="0"/>
        </c:ser>
        <c:dLbls>
          <c:showLegendKey val="0"/>
          <c:showVal val="0"/>
          <c:showCatName val="0"/>
          <c:showSerName val="0"/>
          <c:showPercent val="0"/>
          <c:showBubbleSize val="0"/>
        </c:dLbls>
        <c:marker val="1"/>
        <c:smooth val="0"/>
        <c:axId val="295814272"/>
        <c:axId val="295816192"/>
      </c:lineChart>
      <c:catAx>
        <c:axId val="29581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Calibri"/>
                <a:ea typeface="Calibri"/>
                <a:cs typeface="Calibri"/>
              </a:defRPr>
            </a:pPr>
            <a:endParaRPr lang="en-US"/>
          </a:p>
        </c:txPr>
        <c:crossAx val="295816192"/>
        <c:crosses val="autoZero"/>
        <c:auto val="1"/>
        <c:lblAlgn val="ctr"/>
        <c:lblOffset val="100"/>
        <c:tickLblSkip val="1"/>
        <c:tickMarkSkip val="1"/>
        <c:noMultiLvlLbl val="0"/>
      </c:catAx>
      <c:valAx>
        <c:axId val="29581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Percentage Change</a:t>
                </a:r>
              </a:p>
            </c:rich>
          </c:tx>
          <c:layout>
            <c:manualLayout>
              <c:xMode val="edge"/>
              <c:yMode val="edge"/>
              <c:x val="8.1967278726369375E-3"/>
              <c:y val="0.2705483976154444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95814272"/>
        <c:crosses val="autoZero"/>
        <c:crossBetween val="between"/>
      </c:valAx>
      <c:spPr>
        <a:noFill/>
        <a:ln w="25400">
          <a:noFill/>
        </a:ln>
      </c:spPr>
    </c:plotArea>
    <c:legend>
      <c:legendPos val="r"/>
      <c:layout>
        <c:manualLayout>
          <c:xMode val="edge"/>
          <c:yMode val="edge"/>
          <c:x val="0.34098387950169656"/>
          <c:y val="0.86643980502161322"/>
          <c:w val="0.32853538621334755"/>
          <c:h val="0.13356007055652105"/>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Gross social work expenditure by service area (£'000), 2008/09</a:t>
            </a:r>
          </a:p>
        </c:rich>
      </c:tx>
      <c:layout>
        <c:manualLayout>
          <c:xMode val="edge"/>
          <c:yMode val="edge"/>
          <c:x val="9.9447692664617615E-2"/>
          <c:y val="2.8673935490645619E-2"/>
        </c:manualLayout>
      </c:layout>
      <c:overlay val="0"/>
      <c:spPr>
        <a:noFill/>
        <a:ln w="25400">
          <a:noFill/>
        </a:ln>
      </c:spPr>
    </c:title>
    <c:autoTitleDeleted val="0"/>
    <c:plotArea>
      <c:layout>
        <c:manualLayout>
          <c:layoutTarget val="inner"/>
          <c:xMode val="edge"/>
          <c:yMode val="edge"/>
          <c:x val="0.16758777837926303"/>
          <c:y val="0.34767146782407815"/>
          <c:w val="0.46777248031134955"/>
          <c:h val="0.36200843556940093"/>
        </c:manualLayout>
      </c:layout>
      <c:pieChart>
        <c:varyColors val="1"/>
        <c:ser>
          <c:idx val="0"/>
          <c:order val="0"/>
          <c:tx>
            <c:strRef>
              <c:f>Scotland!$J$79</c:f>
              <c:strCache>
                <c:ptCount val="1"/>
                <c:pt idx="0">
                  <c:v>2008/09</c:v>
                </c:pt>
              </c:strCache>
            </c:strRef>
          </c:tx>
          <c:spPr>
            <a:solidFill>
              <a:srgbClr val="9999FF"/>
            </a:solidFill>
            <a:ln w="12700">
              <a:solidFill>
                <a:srgbClr val="000000"/>
              </a:solidFill>
              <a:prstDash val="solid"/>
            </a:ln>
          </c:spPr>
          <c:dPt>
            <c:idx val="0"/>
            <c:bubble3D val="0"/>
            <c:spPr>
              <a:solidFill>
                <a:srgbClr val="0000FF"/>
              </a:solidFill>
              <a:ln w="12700">
                <a:solidFill>
                  <a:srgbClr val="000000"/>
                </a:solidFill>
                <a:prstDash val="solid"/>
              </a:ln>
            </c:spPr>
          </c:dPt>
          <c:dPt>
            <c:idx val="1"/>
            <c:bubble3D val="0"/>
            <c:spPr>
              <a:solidFill>
                <a:srgbClr val="FF0000"/>
              </a:solidFill>
              <a:ln w="12700">
                <a:solidFill>
                  <a:srgbClr val="000000"/>
                </a:solidFill>
                <a:prstDash val="solid"/>
              </a:ln>
            </c:spPr>
          </c:dPt>
          <c:dPt>
            <c:idx val="2"/>
            <c:bubble3D val="0"/>
            <c:spPr>
              <a:solidFill>
                <a:srgbClr val="008000"/>
              </a:solidFill>
              <a:ln w="12700">
                <a:solidFill>
                  <a:srgbClr val="000000"/>
                </a:solidFill>
                <a:prstDash val="solid"/>
              </a:ln>
            </c:spPr>
          </c:dPt>
          <c:dPt>
            <c:idx val="3"/>
            <c:bubble3D val="0"/>
            <c:spPr>
              <a:solidFill>
                <a:srgbClr val="99CCFF"/>
              </a:solidFill>
              <a:ln w="12700">
                <a:solidFill>
                  <a:srgbClr val="000000"/>
                </a:solidFill>
                <a:prstDash val="solid"/>
              </a:ln>
            </c:spPr>
          </c:dPt>
          <c:dPt>
            <c:idx val="4"/>
            <c:bubble3D val="0"/>
            <c:spPr>
              <a:solidFill>
                <a:srgbClr val="660066"/>
              </a:solidFill>
              <a:ln w="12700">
                <a:solidFill>
                  <a:srgbClr val="000000"/>
                </a:solidFill>
                <a:prstDash val="solid"/>
              </a:ln>
            </c:spPr>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bestFit"/>
            <c:showLegendKey val="0"/>
            <c:showVal val="1"/>
            <c:showCatName val="0"/>
            <c:showSerName val="0"/>
            <c:showPercent val="1"/>
            <c:showBubbleSize val="0"/>
            <c:showLeaderLines val="1"/>
          </c:dLbls>
          <c:cat>
            <c:strRef>
              <c:f>Scotland!$L$77:$P$77</c:f>
              <c:strCache>
                <c:ptCount val="5"/>
                <c:pt idx="0">
                  <c:v>Children &amp; Families</c:v>
                </c:pt>
                <c:pt idx="1">
                  <c:v>Older People</c:v>
                </c:pt>
                <c:pt idx="2">
                  <c:v>Learning Disability</c:v>
                </c:pt>
                <c:pt idx="3">
                  <c:v>Other Adult Groups</c:v>
                </c:pt>
                <c:pt idx="4">
                  <c:v>Miscellaneous</c:v>
                </c:pt>
              </c:strCache>
            </c:strRef>
          </c:cat>
          <c:val>
            <c:numRef>
              <c:f>Scotland!$L$79:$P$79</c:f>
              <c:numCache>
                <c:formatCode>#,##0</c:formatCode>
                <c:ptCount val="5"/>
                <c:pt idx="0">
                  <c:v>800241.65174363833</c:v>
                </c:pt>
                <c:pt idx="1">
                  <c:v>1664536.5138484281</c:v>
                </c:pt>
                <c:pt idx="2">
                  <c:v>676723.68247151072</c:v>
                </c:pt>
                <c:pt idx="3">
                  <c:v>332499.85407205904</c:v>
                </c:pt>
                <c:pt idx="4">
                  <c:v>35804.812837374702</c:v>
                </c:pt>
              </c:numCache>
            </c:numRef>
          </c:val>
        </c:ser>
        <c:dLbls>
          <c:showLegendKey val="0"/>
          <c:showVal val="1"/>
          <c:showCatName val="0"/>
          <c:showSerName val="0"/>
          <c:showPercent val="0"/>
          <c:showBubbleSize val="0"/>
          <c:showLeaderLines val="1"/>
        </c:dLbls>
        <c:firstSliceAng val="0"/>
      </c:pieChart>
    </c:plotArea>
    <c:legend>
      <c:legendPos val="r"/>
      <c:layout>
        <c:manualLayout>
          <c:xMode val="edge"/>
          <c:yMode val="edge"/>
          <c:x val="0.72007495984936087"/>
          <c:y val="0.14695391938955879"/>
          <c:w val="0.23329070054088544"/>
          <c:h val="0.3865511434726572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Total gross social work spend (per head of population), 2008/09</a:t>
            </a:r>
          </a:p>
        </c:rich>
      </c:tx>
      <c:layout>
        <c:manualLayout>
          <c:xMode val="edge"/>
          <c:yMode val="edge"/>
          <c:x val="0.13653136531365315"/>
          <c:y val="3.5483926858503746E-2"/>
        </c:manualLayout>
      </c:layout>
      <c:overlay val="0"/>
      <c:spPr>
        <a:noFill/>
        <a:ln w="25400">
          <a:noFill/>
        </a:ln>
      </c:spPr>
    </c:title>
    <c:autoTitleDeleted val="0"/>
    <c:plotArea>
      <c:layout>
        <c:manualLayout>
          <c:layoutTarget val="inner"/>
          <c:xMode val="edge"/>
          <c:yMode val="edge"/>
          <c:x val="0.12546125461254612"/>
          <c:y val="0.21612937268361374"/>
          <c:w val="0.83948339483394829"/>
          <c:h val="0.51290403368200865"/>
        </c:manualLayout>
      </c:layout>
      <c:barChart>
        <c:barDir val="col"/>
        <c:grouping val="clustered"/>
        <c:varyColors val="0"/>
        <c:ser>
          <c:idx val="1"/>
          <c:order val="0"/>
          <c:tx>
            <c:strRef>
              <c:f>'Per Capita Data - Overall'!$C$2</c:f>
              <c:strCache>
                <c:ptCount val="1"/>
                <c:pt idx="0">
                  <c:v>Social Work Spend per Capita</c:v>
                </c:pt>
              </c:strCache>
            </c:strRef>
          </c:tx>
          <c:spPr>
            <a:solidFill>
              <a:srgbClr val="0000FF"/>
            </a:solidFill>
            <a:ln w="12700">
              <a:solidFill>
                <a:srgbClr val="000000"/>
              </a:solidFill>
              <a:prstDash val="solid"/>
            </a:ln>
          </c:spPr>
          <c:invertIfNegative val="0"/>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Overall'!$C$3:$C$34</c:f>
              <c:numCache>
                <c:formatCode>#,##0</c:formatCode>
                <c:ptCount val="32"/>
                <c:pt idx="0">
                  <c:v>1462.5484287559191</c:v>
                </c:pt>
                <c:pt idx="1">
                  <c:v>1082.3529411764705</c:v>
                </c:pt>
                <c:pt idx="2">
                  <c:v>1032.0366972477063</c:v>
                </c:pt>
                <c:pt idx="3">
                  <c:v>900.28349870757938</c:v>
                </c:pt>
                <c:pt idx="4">
                  <c:v>885.01058731750811</c:v>
                </c:pt>
                <c:pt idx="5">
                  <c:v>859.95548360987459</c:v>
                </c:pt>
                <c:pt idx="6">
                  <c:v>847.5045804323928</c:v>
                </c:pt>
                <c:pt idx="7">
                  <c:v>840.97170047583268</c:v>
                </c:pt>
                <c:pt idx="8">
                  <c:v>822.30912807750417</c:v>
                </c:pt>
                <c:pt idx="9">
                  <c:v>815.13967571791363</c:v>
                </c:pt>
                <c:pt idx="10">
                  <c:v>789.93597438975587</c:v>
                </c:pt>
                <c:pt idx="11">
                  <c:v>777.74355464293865</c:v>
                </c:pt>
                <c:pt idx="12">
                  <c:v>776.8696550536647</c:v>
                </c:pt>
                <c:pt idx="13">
                  <c:v>765.88049037915073</c:v>
                </c:pt>
                <c:pt idx="14">
                  <c:v>761.1952517396644</c:v>
                </c:pt>
                <c:pt idx="15">
                  <c:v>754.46453668134541</c:v>
                </c:pt>
                <c:pt idx="16">
                  <c:v>753.16124816206502</c:v>
                </c:pt>
                <c:pt idx="17">
                  <c:v>742.82283069129653</c:v>
                </c:pt>
                <c:pt idx="18">
                  <c:v>736.53260593757932</c:v>
                </c:pt>
                <c:pt idx="19">
                  <c:v>712.67210383232486</c:v>
                </c:pt>
                <c:pt idx="20">
                  <c:v>699.53601670339867</c:v>
                </c:pt>
                <c:pt idx="21">
                  <c:v>673.69916707496327</c:v>
                </c:pt>
                <c:pt idx="22">
                  <c:v>669.67810026385223</c:v>
                </c:pt>
                <c:pt idx="23">
                  <c:v>643.76662376662375</c:v>
                </c:pt>
                <c:pt idx="24">
                  <c:v>643.40819475398598</c:v>
                </c:pt>
                <c:pt idx="25">
                  <c:v>637.17254817059973</c:v>
                </c:pt>
                <c:pt idx="26">
                  <c:v>624.30661716531995</c:v>
                </c:pt>
                <c:pt idx="27">
                  <c:v>616.07369355657022</c:v>
                </c:pt>
                <c:pt idx="28">
                  <c:v>612.70602160082854</c:v>
                </c:pt>
                <c:pt idx="29">
                  <c:v>606.54889844169804</c:v>
                </c:pt>
                <c:pt idx="30">
                  <c:v>600.69481765834928</c:v>
                </c:pt>
                <c:pt idx="31">
                  <c:v>544.03612757550104</c:v>
                </c:pt>
              </c:numCache>
            </c:numRef>
          </c:val>
        </c:ser>
        <c:dLbls>
          <c:showLegendKey val="0"/>
          <c:showVal val="0"/>
          <c:showCatName val="0"/>
          <c:showSerName val="0"/>
          <c:showPercent val="0"/>
          <c:showBubbleSize val="0"/>
        </c:dLbls>
        <c:gapWidth val="150"/>
        <c:overlap val="100"/>
        <c:axId val="344684800"/>
        <c:axId val="344686592"/>
      </c:barChart>
      <c:lineChart>
        <c:grouping val="standard"/>
        <c:varyColors val="0"/>
        <c:ser>
          <c:idx val="2"/>
          <c:order val="1"/>
          <c:tx>
            <c:strRef>
              <c:f>'Per Capita Data - Overall'!$E$2</c:f>
              <c:strCache>
                <c:ptCount val="1"/>
                <c:pt idx="0">
                  <c:v>Average Spend per Capita</c:v>
                </c:pt>
              </c:strCache>
            </c:strRef>
          </c:tx>
          <c:spPr>
            <a:ln w="25400">
              <a:solidFill>
                <a:srgbClr val="000000"/>
              </a:solidFill>
              <a:prstDash val="solid"/>
            </a:ln>
          </c:spPr>
          <c:marker>
            <c:symbol val="none"/>
          </c:marker>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Overall'!$E$3:$E$34</c:f>
              <c:numCache>
                <c:formatCode>#,##0</c:formatCode>
                <c:ptCount val="32"/>
                <c:pt idx="0">
                  <c:v>738</c:v>
                </c:pt>
                <c:pt idx="1">
                  <c:v>738</c:v>
                </c:pt>
                <c:pt idx="2">
                  <c:v>738</c:v>
                </c:pt>
                <c:pt idx="3">
                  <c:v>738</c:v>
                </c:pt>
                <c:pt idx="4">
                  <c:v>738</c:v>
                </c:pt>
                <c:pt idx="5">
                  <c:v>738</c:v>
                </c:pt>
                <c:pt idx="6">
                  <c:v>738</c:v>
                </c:pt>
                <c:pt idx="7">
                  <c:v>738</c:v>
                </c:pt>
                <c:pt idx="8">
                  <c:v>738</c:v>
                </c:pt>
                <c:pt idx="9">
                  <c:v>738</c:v>
                </c:pt>
                <c:pt idx="10">
                  <c:v>738</c:v>
                </c:pt>
                <c:pt idx="11">
                  <c:v>738</c:v>
                </c:pt>
                <c:pt idx="12">
                  <c:v>738</c:v>
                </c:pt>
                <c:pt idx="13">
                  <c:v>738</c:v>
                </c:pt>
                <c:pt idx="14">
                  <c:v>738</c:v>
                </c:pt>
                <c:pt idx="15">
                  <c:v>738</c:v>
                </c:pt>
                <c:pt idx="16">
                  <c:v>738</c:v>
                </c:pt>
                <c:pt idx="17">
                  <c:v>738</c:v>
                </c:pt>
                <c:pt idx="18">
                  <c:v>738</c:v>
                </c:pt>
                <c:pt idx="19">
                  <c:v>738</c:v>
                </c:pt>
                <c:pt idx="20">
                  <c:v>738</c:v>
                </c:pt>
                <c:pt idx="21">
                  <c:v>738</c:v>
                </c:pt>
                <c:pt idx="22">
                  <c:v>738</c:v>
                </c:pt>
                <c:pt idx="23">
                  <c:v>738</c:v>
                </c:pt>
                <c:pt idx="24">
                  <c:v>738</c:v>
                </c:pt>
                <c:pt idx="25">
                  <c:v>738</c:v>
                </c:pt>
                <c:pt idx="26">
                  <c:v>738</c:v>
                </c:pt>
                <c:pt idx="27">
                  <c:v>738</c:v>
                </c:pt>
                <c:pt idx="28">
                  <c:v>738</c:v>
                </c:pt>
                <c:pt idx="29">
                  <c:v>738</c:v>
                </c:pt>
                <c:pt idx="30">
                  <c:v>738</c:v>
                </c:pt>
                <c:pt idx="31">
                  <c:v>738</c:v>
                </c:pt>
              </c:numCache>
            </c:numRef>
          </c:val>
          <c:smooth val="0"/>
        </c:ser>
        <c:dLbls>
          <c:showLegendKey val="0"/>
          <c:showVal val="0"/>
          <c:showCatName val="0"/>
          <c:showSerName val="0"/>
          <c:showPercent val="0"/>
          <c:showBubbleSize val="0"/>
        </c:dLbls>
        <c:marker val="1"/>
        <c:smooth val="0"/>
        <c:axId val="344688512"/>
        <c:axId val="344690048"/>
      </c:lineChart>
      <c:catAx>
        <c:axId val="344684800"/>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4686592"/>
        <c:crosses val="autoZero"/>
        <c:auto val="0"/>
        <c:lblAlgn val="ctr"/>
        <c:lblOffset val="100"/>
        <c:tickLblSkip val="1"/>
        <c:tickMarkSkip val="1"/>
        <c:noMultiLvlLbl val="0"/>
      </c:catAx>
      <c:valAx>
        <c:axId val="3446865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a:t>
                </a:r>
              </a:p>
            </c:rich>
          </c:tx>
          <c:layout>
            <c:manualLayout>
              <c:xMode val="edge"/>
              <c:yMode val="edge"/>
              <c:x val="9.2250922509225092E-3"/>
              <c:y val="0.30967790712875998"/>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684800"/>
        <c:crosses val="autoZero"/>
        <c:crossBetween val="between"/>
      </c:valAx>
      <c:catAx>
        <c:axId val="344688512"/>
        <c:scaling>
          <c:orientation val="minMax"/>
        </c:scaling>
        <c:delete val="1"/>
        <c:axPos val="b"/>
        <c:majorTickMark val="out"/>
        <c:minorTickMark val="none"/>
        <c:tickLblPos val="nextTo"/>
        <c:crossAx val="344690048"/>
        <c:crosses val="autoZero"/>
        <c:auto val="0"/>
        <c:lblAlgn val="ctr"/>
        <c:lblOffset val="100"/>
        <c:noMultiLvlLbl val="0"/>
      </c:catAx>
      <c:valAx>
        <c:axId val="344690048"/>
        <c:scaling>
          <c:orientation val="minMax"/>
        </c:scaling>
        <c:delete val="1"/>
        <c:axPos val="l"/>
        <c:numFmt formatCode="#,##0" sourceLinked="1"/>
        <c:majorTickMark val="out"/>
        <c:minorTickMark val="none"/>
        <c:tickLblPos val="nextTo"/>
        <c:crossAx val="34468851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Children and families services
(per head of 0-17 population), 2008/09</a:t>
            </a:r>
          </a:p>
        </c:rich>
      </c:tx>
      <c:layout>
        <c:manualLayout>
          <c:xMode val="edge"/>
          <c:yMode val="edge"/>
          <c:x val="0.1362801714292908"/>
          <c:y val="3.5483926858503746E-2"/>
        </c:manualLayout>
      </c:layout>
      <c:overlay val="0"/>
      <c:spPr>
        <a:noFill/>
        <a:ln w="25400">
          <a:noFill/>
        </a:ln>
      </c:spPr>
    </c:title>
    <c:autoTitleDeleted val="0"/>
    <c:plotArea>
      <c:layout>
        <c:manualLayout>
          <c:layoutTarget val="inner"/>
          <c:xMode val="edge"/>
          <c:yMode val="edge"/>
          <c:x val="0.14180504324399179"/>
          <c:y val="0.19677450348806624"/>
          <c:w val="0.81399778069927753"/>
          <c:h val="0.54193633747532999"/>
        </c:manualLayout>
      </c:layout>
      <c:barChart>
        <c:barDir val="col"/>
        <c:grouping val="clustered"/>
        <c:varyColors val="0"/>
        <c:ser>
          <c:idx val="1"/>
          <c:order val="0"/>
          <c:tx>
            <c:strRef>
              <c:f>'Per Capita Data - C&amp;F'!$C$2</c:f>
              <c:strCache>
                <c:ptCount val="1"/>
                <c:pt idx="0">
                  <c:v>C&amp;F Spend per Capita</c:v>
                </c:pt>
              </c:strCache>
            </c:strRef>
          </c:tx>
          <c:spPr>
            <a:solidFill>
              <a:srgbClr val="0000FF"/>
            </a:solidFill>
            <a:ln w="12700">
              <a:solidFill>
                <a:srgbClr val="000000"/>
              </a:solidFill>
              <a:prstDash val="solid"/>
            </a:ln>
          </c:spPr>
          <c:invertIfNegative val="0"/>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C&amp;F'!$C$3:$C$34</c:f>
              <c:numCache>
                <c:formatCode>#,##0</c:formatCode>
                <c:ptCount val="32"/>
                <c:pt idx="0">
                  <c:v>1397.4424692894934</c:v>
                </c:pt>
                <c:pt idx="1">
                  <c:v>1125.291149068323</c:v>
                </c:pt>
                <c:pt idx="2">
                  <c:v>1123.4299605878671</c:v>
                </c:pt>
                <c:pt idx="3">
                  <c:v>1097.2982559858112</c:v>
                </c:pt>
                <c:pt idx="4">
                  <c:v>1066.9657879977565</c:v>
                </c:pt>
                <c:pt idx="5">
                  <c:v>1059.8849832756293</c:v>
                </c:pt>
                <c:pt idx="6">
                  <c:v>1028.8906624102153</c:v>
                </c:pt>
                <c:pt idx="7">
                  <c:v>1012.7153404429861</c:v>
                </c:pt>
                <c:pt idx="8">
                  <c:v>1008.4865007475157</c:v>
                </c:pt>
                <c:pt idx="9">
                  <c:v>985.53172324494733</c:v>
                </c:pt>
                <c:pt idx="10">
                  <c:v>985.30510585305115</c:v>
                </c:pt>
                <c:pt idx="11">
                  <c:v>970.26022304832713</c:v>
                </c:pt>
                <c:pt idx="12">
                  <c:v>914.56808501840135</c:v>
                </c:pt>
                <c:pt idx="13">
                  <c:v>884.65375124691548</c:v>
                </c:pt>
                <c:pt idx="14">
                  <c:v>861.78709010617308</c:v>
                </c:pt>
                <c:pt idx="15">
                  <c:v>846.67165295437553</c:v>
                </c:pt>
                <c:pt idx="16">
                  <c:v>837.60512615138157</c:v>
                </c:pt>
                <c:pt idx="17">
                  <c:v>810.01248846174735</c:v>
                </c:pt>
                <c:pt idx="18">
                  <c:v>786.50082312054144</c:v>
                </c:pt>
                <c:pt idx="19">
                  <c:v>740.41599999999994</c:v>
                </c:pt>
                <c:pt idx="20">
                  <c:v>705.26315789473676</c:v>
                </c:pt>
                <c:pt idx="21">
                  <c:v>634.99099598282316</c:v>
                </c:pt>
                <c:pt idx="22">
                  <c:v>629.95845022905644</c:v>
                </c:pt>
                <c:pt idx="23">
                  <c:v>625.56140837260875</c:v>
                </c:pt>
                <c:pt idx="24">
                  <c:v>623.73950513082491</c:v>
                </c:pt>
                <c:pt idx="25">
                  <c:v>608.58123032097376</c:v>
                </c:pt>
                <c:pt idx="26">
                  <c:v>599.47849421533624</c:v>
                </c:pt>
                <c:pt idx="27">
                  <c:v>513.89759665621739</c:v>
                </c:pt>
                <c:pt idx="28">
                  <c:v>501.40162493467</c:v>
                </c:pt>
                <c:pt idx="29">
                  <c:v>470.24548841966828</c:v>
                </c:pt>
                <c:pt idx="30">
                  <c:v>464.68138275718451</c:v>
                </c:pt>
                <c:pt idx="31">
                  <c:v>379.68456084502964</c:v>
                </c:pt>
              </c:numCache>
            </c:numRef>
          </c:val>
        </c:ser>
        <c:dLbls>
          <c:showLegendKey val="0"/>
          <c:showVal val="0"/>
          <c:showCatName val="0"/>
          <c:showSerName val="0"/>
          <c:showPercent val="0"/>
          <c:showBubbleSize val="0"/>
        </c:dLbls>
        <c:gapWidth val="150"/>
        <c:overlap val="100"/>
        <c:axId val="344724608"/>
        <c:axId val="344726144"/>
      </c:barChart>
      <c:lineChart>
        <c:grouping val="standard"/>
        <c:varyColors val="0"/>
        <c:ser>
          <c:idx val="2"/>
          <c:order val="1"/>
          <c:tx>
            <c:strRef>
              <c:f>'Per Capita Data - C&amp;F'!$E$2</c:f>
              <c:strCache>
                <c:ptCount val="1"/>
                <c:pt idx="0">
                  <c:v>Average Spend per Capita</c:v>
                </c:pt>
              </c:strCache>
            </c:strRef>
          </c:tx>
          <c:spPr>
            <a:ln w="25400">
              <a:solidFill>
                <a:srgbClr val="000000"/>
              </a:solidFill>
              <a:prstDash val="solid"/>
            </a:ln>
          </c:spPr>
          <c:marker>
            <c:symbol val="none"/>
          </c:marker>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C&amp;F'!$E$3:$E$34</c:f>
              <c:numCache>
                <c:formatCode>#,##0</c:formatCode>
                <c:ptCount val="32"/>
                <c:pt idx="0">
                  <c:v>856</c:v>
                </c:pt>
                <c:pt idx="1">
                  <c:v>856</c:v>
                </c:pt>
                <c:pt idx="2">
                  <c:v>856</c:v>
                </c:pt>
                <c:pt idx="3">
                  <c:v>856</c:v>
                </c:pt>
                <c:pt idx="4">
                  <c:v>856</c:v>
                </c:pt>
                <c:pt idx="5">
                  <c:v>856</c:v>
                </c:pt>
                <c:pt idx="6">
                  <c:v>856</c:v>
                </c:pt>
                <c:pt idx="7">
                  <c:v>856</c:v>
                </c:pt>
                <c:pt idx="8">
                  <c:v>856</c:v>
                </c:pt>
                <c:pt idx="9">
                  <c:v>856</c:v>
                </c:pt>
                <c:pt idx="10">
                  <c:v>856</c:v>
                </c:pt>
                <c:pt idx="11">
                  <c:v>856</c:v>
                </c:pt>
                <c:pt idx="12">
                  <c:v>856</c:v>
                </c:pt>
                <c:pt idx="13">
                  <c:v>856</c:v>
                </c:pt>
                <c:pt idx="14">
                  <c:v>856</c:v>
                </c:pt>
                <c:pt idx="15">
                  <c:v>856</c:v>
                </c:pt>
                <c:pt idx="16">
                  <c:v>856</c:v>
                </c:pt>
                <c:pt idx="17">
                  <c:v>856</c:v>
                </c:pt>
                <c:pt idx="18">
                  <c:v>856</c:v>
                </c:pt>
                <c:pt idx="19">
                  <c:v>856</c:v>
                </c:pt>
                <c:pt idx="20">
                  <c:v>856</c:v>
                </c:pt>
                <c:pt idx="21">
                  <c:v>856</c:v>
                </c:pt>
                <c:pt idx="22">
                  <c:v>856</c:v>
                </c:pt>
                <c:pt idx="23">
                  <c:v>856</c:v>
                </c:pt>
                <c:pt idx="24">
                  <c:v>856</c:v>
                </c:pt>
                <c:pt idx="25">
                  <c:v>856</c:v>
                </c:pt>
                <c:pt idx="26">
                  <c:v>856</c:v>
                </c:pt>
                <c:pt idx="27">
                  <c:v>856</c:v>
                </c:pt>
                <c:pt idx="28">
                  <c:v>856</c:v>
                </c:pt>
                <c:pt idx="29">
                  <c:v>856</c:v>
                </c:pt>
                <c:pt idx="30">
                  <c:v>856</c:v>
                </c:pt>
                <c:pt idx="31">
                  <c:v>856</c:v>
                </c:pt>
              </c:numCache>
            </c:numRef>
          </c:val>
          <c:smooth val="0"/>
        </c:ser>
        <c:dLbls>
          <c:showLegendKey val="0"/>
          <c:showVal val="0"/>
          <c:showCatName val="0"/>
          <c:showSerName val="0"/>
          <c:showPercent val="0"/>
          <c:showBubbleSize val="0"/>
        </c:dLbls>
        <c:marker val="1"/>
        <c:smooth val="0"/>
        <c:axId val="344728320"/>
        <c:axId val="344729856"/>
      </c:lineChart>
      <c:catAx>
        <c:axId val="344724608"/>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4726144"/>
        <c:crosses val="autoZero"/>
        <c:auto val="0"/>
        <c:lblAlgn val="ctr"/>
        <c:lblOffset val="100"/>
        <c:tickLblSkip val="1"/>
        <c:tickMarkSkip val="1"/>
        <c:noMultiLvlLbl val="0"/>
      </c:catAx>
      <c:valAx>
        <c:axId val="34472614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0-17 population (£)</a:t>
                </a:r>
              </a:p>
            </c:rich>
          </c:tx>
          <c:layout>
            <c:manualLayout>
              <c:xMode val="edge"/>
              <c:yMode val="edge"/>
              <c:x val="9.2081196911682987E-3"/>
              <c:y val="0.16774219969474499"/>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724608"/>
        <c:crosses val="autoZero"/>
        <c:crossBetween val="between"/>
      </c:valAx>
      <c:catAx>
        <c:axId val="344728320"/>
        <c:scaling>
          <c:orientation val="minMax"/>
        </c:scaling>
        <c:delete val="1"/>
        <c:axPos val="b"/>
        <c:majorTickMark val="out"/>
        <c:minorTickMark val="none"/>
        <c:tickLblPos val="nextTo"/>
        <c:crossAx val="344729856"/>
        <c:crosses val="autoZero"/>
        <c:auto val="0"/>
        <c:lblAlgn val="ctr"/>
        <c:lblOffset val="100"/>
        <c:noMultiLvlLbl val="0"/>
      </c:catAx>
      <c:valAx>
        <c:axId val="344729856"/>
        <c:scaling>
          <c:orientation val="minMax"/>
        </c:scaling>
        <c:delete val="1"/>
        <c:axPos val="l"/>
        <c:numFmt formatCode="#,##0" sourceLinked="1"/>
        <c:majorTickMark val="out"/>
        <c:minorTickMark val="none"/>
        <c:tickLblPos val="nextTo"/>
        <c:crossAx val="34472832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Older people services, 2008/09
(per head of population aged 65+)</a:t>
            </a:r>
          </a:p>
        </c:rich>
      </c:tx>
      <c:layout>
        <c:manualLayout>
          <c:xMode val="edge"/>
          <c:yMode val="edge"/>
          <c:x val="0.13259692355282349"/>
          <c:y val="3.3232677422638288E-2"/>
        </c:manualLayout>
      </c:layout>
      <c:overlay val="0"/>
      <c:spPr>
        <a:noFill/>
        <a:ln w="25400">
          <a:noFill/>
        </a:ln>
      </c:spPr>
    </c:title>
    <c:autoTitleDeleted val="0"/>
    <c:plotArea>
      <c:layout>
        <c:manualLayout>
          <c:layoutTarget val="inner"/>
          <c:xMode val="edge"/>
          <c:yMode val="edge"/>
          <c:x val="0.15285478687339374"/>
          <c:y val="0.20845952201473106"/>
          <c:w val="0.81583940463751126"/>
          <c:h val="0.53474399125517968"/>
        </c:manualLayout>
      </c:layout>
      <c:barChart>
        <c:barDir val="col"/>
        <c:grouping val="clustered"/>
        <c:varyColors val="0"/>
        <c:ser>
          <c:idx val="1"/>
          <c:order val="0"/>
          <c:tx>
            <c:strRef>
              <c:f>'Per Capita Data - Older'!$C$2</c:f>
              <c:strCache>
                <c:ptCount val="1"/>
                <c:pt idx="0">
                  <c:v>C&amp;F Spend per Capita</c:v>
                </c:pt>
              </c:strCache>
            </c:strRef>
          </c:tx>
          <c:spPr>
            <a:solidFill>
              <a:srgbClr val="0000FF"/>
            </a:solidFill>
            <a:ln w="12700">
              <a:solidFill>
                <a:srgbClr val="000000"/>
              </a:solidFill>
              <a:prstDash val="solid"/>
            </a:ln>
          </c:spPr>
          <c:invertIfNegative val="0"/>
          <c:cat>
            <c:strRef>
              <c:f>'Per Capita Data - Older'!$B$3:$B$34</c:f>
              <c:strCache>
                <c:ptCount val="32"/>
                <c:pt idx="0">
                  <c:v>Shetland Islands</c:v>
                </c:pt>
                <c:pt idx="1">
                  <c:v>Orkney Islands</c:v>
                </c:pt>
                <c:pt idx="2">
                  <c:v>Eilean Siar</c:v>
                </c:pt>
                <c:pt idx="3">
                  <c:v>Glasgow City</c:v>
                </c:pt>
                <c:pt idx="4">
                  <c:v>West Dunbartonshire</c:v>
                </c:pt>
                <c:pt idx="5">
                  <c:v>Inverclyde</c:v>
                </c:pt>
                <c:pt idx="6">
                  <c:v>Edinburgh</c:v>
                </c:pt>
                <c:pt idx="7">
                  <c:v>Dundee City</c:v>
                </c:pt>
                <c:pt idx="8">
                  <c:v>Aberdeen City</c:v>
                </c:pt>
                <c:pt idx="9">
                  <c:v>East Dunbartonshire</c:v>
                </c:pt>
                <c:pt idx="10">
                  <c:v>North Ayrshire</c:v>
                </c:pt>
                <c:pt idx="11">
                  <c:v>Clackmannanshire</c:v>
                </c:pt>
                <c:pt idx="12">
                  <c:v>Renfrewshire</c:v>
                </c:pt>
                <c:pt idx="13">
                  <c:v>Falkirk</c:v>
                </c:pt>
                <c:pt idx="14">
                  <c:v>East Ayrshire</c:v>
                </c:pt>
                <c:pt idx="15">
                  <c:v>South Lanarkshire</c:v>
                </c:pt>
                <c:pt idx="16">
                  <c:v>South Ayrshire</c:v>
                </c:pt>
                <c:pt idx="17">
                  <c:v>Argyll &amp; Bute</c:v>
                </c:pt>
                <c:pt idx="18">
                  <c:v>Aberdeenshire</c:v>
                </c:pt>
                <c:pt idx="19">
                  <c:v>Midlothian</c:v>
                </c:pt>
                <c:pt idx="20">
                  <c:v>North Lanarkshire</c:v>
                </c:pt>
                <c:pt idx="21">
                  <c:v>East Renfrewshire</c:v>
                </c:pt>
                <c:pt idx="22">
                  <c:v>Angus</c:v>
                </c:pt>
                <c:pt idx="23">
                  <c:v>Fife</c:v>
                </c:pt>
                <c:pt idx="24">
                  <c:v>Dumfries &amp; Galloway</c:v>
                </c:pt>
                <c:pt idx="25">
                  <c:v>Stirling</c:v>
                </c:pt>
                <c:pt idx="26">
                  <c:v>East Lothian</c:v>
                </c:pt>
                <c:pt idx="27">
                  <c:v>Moray</c:v>
                </c:pt>
                <c:pt idx="28">
                  <c:v>West Lothian</c:v>
                </c:pt>
                <c:pt idx="29">
                  <c:v>Scottish Borders</c:v>
                </c:pt>
                <c:pt idx="30">
                  <c:v>Perth &amp; Kinross</c:v>
                </c:pt>
                <c:pt idx="31">
                  <c:v>Highland</c:v>
                </c:pt>
              </c:strCache>
            </c:strRef>
          </c:cat>
          <c:val>
            <c:numRef>
              <c:f>'Per Capita Data - Older'!$C$3:$C$34</c:f>
              <c:numCache>
                <c:formatCode>#,##0</c:formatCode>
                <c:ptCount val="32"/>
                <c:pt idx="0">
                  <c:v>4277.845478917865</c:v>
                </c:pt>
                <c:pt idx="1">
                  <c:v>2958.114035087719</c:v>
                </c:pt>
                <c:pt idx="2">
                  <c:v>2837.8550909671244</c:v>
                </c:pt>
                <c:pt idx="3">
                  <c:v>2658.2803428255461</c:v>
                </c:pt>
                <c:pt idx="4">
                  <c:v>2366.4604279453465</c:v>
                </c:pt>
                <c:pt idx="5">
                  <c:v>2193.454309786131</c:v>
                </c:pt>
                <c:pt idx="6">
                  <c:v>2173.9022094246634</c:v>
                </c:pt>
                <c:pt idx="7">
                  <c:v>2084.8956490979836</c:v>
                </c:pt>
                <c:pt idx="8">
                  <c:v>2080.6513807729953</c:v>
                </c:pt>
                <c:pt idx="9">
                  <c:v>2071.168878385748</c:v>
                </c:pt>
                <c:pt idx="10">
                  <c:v>2049.6889943551573</c:v>
                </c:pt>
                <c:pt idx="11">
                  <c:v>1832.7974276527329</c:v>
                </c:pt>
                <c:pt idx="12">
                  <c:v>1831.911949280726</c:v>
                </c:pt>
                <c:pt idx="13">
                  <c:v>1791.6084430389058</c:v>
                </c:pt>
                <c:pt idx="14">
                  <c:v>1788.7002675790675</c:v>
                </c:pt>
                <c:pt idx="15">
                  <c:v>1777.4211282342301</c:v>
                </c:pt>
                <c:pt idx="16">
                  <c:v>1776.8742255266418</c:v>
                </c:pt>
                <c:pt idx="17">
                  <c:v>1750.8244422890398</c:v>
                </c:pt>
                <c:pt idx="18">
                  <c:v>1738.7561964849033</c:v>
                </c:pt>
                <c:pt idx="19">
                  <c:v>1698.9431968295905</c:v>
                </c:pt>
                <c:pt idx="20">
                  <c:v>1692.7849307644872</c:v>
                </c:pt>
                <c:pt idx="21">
                  <c:v>1658.5379981464318</c:v>
                </c:pt>
                <c:pt idx="22">
                  <c:v>1635.7772435897434</c:v>
                </c:pt>
                <c:pt idx="23">
                  <c:v>1591.3121594992465</c:v>
                </c:pt>
                <c:pt idx="24">
                  <c:v>1572.3950899229233</c:v>
                </c:pt>
                <c:pt idx="25">
                  <c:v>1548.3053913882522</c:v>
                </c:pt>
                <c:pt idx="26">
                  <c:v>1518.3246073298428</c:v>
                </c:pt>
                <c:pt idx="27">
                  <c:v>1506.5743195714517</c:v>
                </c:pt>
                <c:pt idx="28">
                  <c:v>1496.6256148244177</c:v>
                </c:pt>
                <c:pt idx="29">
                  <c:v>1471.4030036573029</c:v>
                </c:pt>
                <c:pt idx="30">
                  <c:v>1392.8470143374823</c:v>
                </c:pt>
                <c:pt idx="31">
                  <c:v>1172.2996927440322</c:v>
                </c:pt>
              </c:numCache>
            </c:numRef>
          </c:val>
        </c:ser>
        <c:dLbls>
          <c:showLegendKey val="0"/>
          <c:showVal val="0"/>
          <c:showCatName val="0"/>
          <c:showSerName val="0"/>
          <c:showPercent val="0"/>
          <c:showBubbleSize val="0"/>
        </c:dLbls>
        <c:gapWidth val="150"/>
        <c:overlap val="100"/>
        <c:axId val="344760320"/>
        <c:axId val="344761856"/>
      </c:barChart>
      <c:lineChart>
        <c:grouping val="standard"/>
        <c:varyColors val="0"/>
        <c:ser>
          <c:idx val="2"/>
          <c:order val="1"/>
          <c:tx>
            <c:strRef>
              <c:f>'Per Capita Data - Older'!$E$2</c:f>
              <c:strCache>
                <c:ptCount val="1"/>
                <c:pt idx="0">
                  <c:v>Average Spend per Capita</c:v>
                </c:pt>
              </c:strCache>
            </c:strRef>
          </c:tx>
          <c:spPr>
            <a:ln w="25400">
              <a:solidFill>
                <a:srgbClr val="000000"/>
              </a:solidFill>
              <a:prstDash val="solid"/>
            </a:ln>
          </c:spPr>
          <c:marker>
            <c:symbol val="none"/>
          </c:marker>
          <c:cat>
            <c:strRef>
              <c:f>'Per Capita Data - Older'!$B$3:$B$34</c:f>
              <c:strCache>
                <c:ptCount val="32"/>
                <c:pt idx="0">
                  <c:v>Shetland Islands</c:v>
                </c:pt>
                <c:pt idx="1">
                  <c:v>Orkney Islands</c:v>
                </c:pt>
                <c:pt idx="2">
                  <c:v>Eilean Siar</c:v>
                </c:pt>
                <c:pt idx="3">
                  <c:v>Glasgow City</c:v>
                </c:pt>
                <c:pt idx="4">
                  <c:v>West Dunbartonshire</c:v>
                </c:pt>
                <c:pt idx="5">
                  <c:v>Inverclyde</c:v>
                </c:pt>
                <c:pt idx="6">
                  <c:v>Edinburgh</c:v>
                </c:pt>
                <c:pt idx="7">
                  <c:v>Dundee City</c:v>
                </c:pt>
                <c:pt idx="8">
                  <c:v>Aberdeen City</c:v>
                </c:pt>
                <c:pt idx="9">
                  <c:v>East Dunbartonshire</c:v>
                </c:pt>
                <c:pt idx="10">
                  <c:v>North Ayrshire</c:v>
                </c:pt>
                <c:pt idx="11">
                  <c:v>Clackmannanshire</c:v>
                </c:pt>
                <c:pt idx="12">
                  <c:v>Renfrewshire</c:v>
                </c:pt>
                <c:pt idx="13">
                  <c:v>Falkirk</c:v>
                </c:pt>
                <c:pt idx="14">
                  <c:v>East Ayrshire</c:v>
                </c:pt>
                <c:pt idx="15">
                  <c:v>South Lanarkshire</c:v>
                </c:pt>
                <c:pt idx="16">
                  <c:v>South Ayrshire</c:v>
                </c:pt>
                <c:pt idx="17">
                  <c:v>Argyll &amp; Bute</c:v>
                </c:pt>
                <c:pt idx="18">
                  <c:v>Aberdeenshire</c:v>
                </c:pt>
                <c:pt idx="19">
                  <c:v>Midlothian</c:v>
                </c:pt>
                <c:pt idx="20">
                  <c:v>North Lanarkshire</c:v>
                </c:pt>
                <c:pt idx="21">
                  <c:v>East Renfrewshire</c:v>
                </c:pt>
                <c:pt idx="22">
                  <c:v>Angus</c:v>
                </c:pt>
                <c:pt idx="23">
                  <c:v>Fife</c:v>
                </c:pt>
                <c:pt idx="24">
                  <c:v>Dumfries &amp; Galloway</c:v>
                </c:pt>
                <c:pt idx="25">
                  <c:v>Stirling</c:v>
                </c:pt>
                <c:pt idx="26">
                  <c:v>East Lothian</c:v>
                </c:pt>
                <c:pt idx="27">
                  <c:v>Moray</c:v>
                </c:pt>
                <c:pt idx="28">
                  <c:v>West Lothian</c:v>
                </c:pt>
                <c:pt idx="29">
                  <c:v>Scottish Borders</c:v>
                </c:pt>
                <c:pt idx="30">
                  <c:v>Perth &amp; Kinross</c:v>
                </c:pt>
                <c:pt idx="31">
                  <c:v>Highland</c:v>
                </c:pt>
              </c:strCache>
            </c:strRef>
          </c:cat>
          <c:val>
            <c:numRef>
              <c:f>'Per Capita Data - Older'!$E$3:$E$34</c:f>
              <c:numCache>
                <c:formatCode>#,##0</c:formatCode>
                <c:ptCount val="32"/>
                <c:pt idx="0">
                  <c:v>1853</c:v>
                </c:pt>
                <c:pt idx="1">
                  <c:v>1853</c:v>
                </c:pt>
                <c:pt idx="2">
                  <c:v>1853</c:v>
                </c:pt>
                <c:pt idx="3">
                  <c:v>1853</c:v>
                </c:pt>
                <c:pt idx="4">
                  <c:v>1853</c:v>
                </c:pt>
                <c:pt idx="5">
                  <c:v>1853</c:v>
                </c:pt>
                <c:pt idx="6">
                  <c:v>1853</c:v>
                </c:pt>
                <c:pt idx="7">
                  <c:v>1853</c:v>
                </c:pt>
                <c:pt idx="8">
                  <c:v>1853</c:v>
                </c:pt>
                <c:pt idx="9">
                  <c:v>1853</c:v>
                </c:pt>
                <c:pt idx="10">
                  <c:v>1853</c:v>
                </c:pt>
                <c:pt idx="11">
                  <c:v>1853</c:v>
                </c:pt>
                <c:pt idx="12">
                  <c:v>1853</c:v>
                </c:pt>
                <c:pt idx="13">
                  <c:v>1853</c:v>
                </c:pt>
                <c:pt idx="14">
                  <c:v>1853</c:v>
                </c:pt>
                <c:pt idx="15">
                  <c:v>1853</c:v>
                </c:pt>
                <c:pt idx="16">
                  <c:v>1853</c:v>
                </c:pt>
                <c:pt idx="17">
                  <c:v>1853</c:v>
                </c:pt>
                <c:pt idx="18">
                  <c:v>1853</c:v>
                </c:pt>
                <c:pt idx="19">
                  <c:v>1853</c:v>
                </c:pt>
                <c:pt idx="20">
                  <c:v>1853</c:v>
                </c:pt>
                <c:pt idx="21">
                  <c:v>1853</c:v>
                </c:pt>
                <c:pt idx="22">
                  <c:v>1853</c:v>
                </c:pt>
                <c:pt idx="23">
                  <c:v>1853</c:v>
                </c:pt>
                <c:pt idx="24">
                  <c:v>1853</c:v>
                </c:pt>
                <c:pt idx="25">
                  <c:v>1853</c:v>
                </c:pt>
                <c:pt idx="26">
                  <c:v>1853</c:v>
                </c:pt>
                <c:pt idx="27">
                  <c:v>1853</c:v>
                </c:pt>
                <c:pt idx="28">
                  <c:v>1853</c:v>
                </c:pt>
                <c:pt idx="29">
                  <c:v>1853</c:v>
                </c:pt>
                <c:pt idx="30">
                  <c:v>1853</c:v>
                </c:pt>
                <c:pt idx="31">
                  <c:v>1853</c:v>
                </c:pt>
              </c:numCache>
            </c:numRef>
          </c:val>
          <c:smooth val="0"/>
        </c:ser>
        <c:dLbls>
          <c:showLegendKey val="0"/>
          <c:showVal val="0"/>
          <c:showCatName val="0"/>
          <c:showSerName val="0"/>
          <c:showPercent val="0"/>
          <c:showBubbleSize val="0"/>
        </c:dLbls>
        <c:marker val="1"/>
        <c:smooth val="0"/>
        <c:axId val="344763776"/>
        <c:axId val="344773760"/>
      </c:lineChart>
      <c:catAx>
        <c:axId val="344760320"/>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4761856"/>
        <c:crosses val="autoZero"/>
        <c:auto val="0"/>
        <c:lblAlgn val="ctr"/>
        <c:lblOffset val="100"/>
        <c:tickLblSkip val="1"/>
        <c:tickMarkSkip val="1"/>
        <c:noMultiLvlLbl val="0"/>
      </c:catAx>
      <c:valAx>
        <c:axId val="3447618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65+ (£)</a:t>
                </a:r>
              </a:p>
            </c:rich>
          </c:tx>
          <c:layout>
            <c:manualLayout>
              <c:xMode val="edge"/>
              <c:yMode val="edge"/>
              <c:x val="9.2081196911682987E-3"/>
              <c:y val="0.1450153196624216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760320"/>
        <c:crosses val="autoZero"/>
        <c:crossBetween val="between"/>
      </c:valAx>
      <c:catAx>
        <c:axId val="344763776"/>
        <c:scaling>
          <c:orientation val="minMax"/>
        </c:scaling>
        <c:delete val="1"/>
        <c:axPos val="b"/>
        <c:majorTickMark val="out"/>
        <c:minorTickMark val="none"/>
        <c:tickLblPos val="nextTo"/>
        <c:crossAx val="344773760"/>
        <c:crosses val="autoZero"/>
        <c:auto val="0"/>
        <c:lblAlgn val="ctr"/>
        <c:lblOffset val="100"/>
        <c:noMultiLvlLbl val="0"/>
      </c:catAx>
      <c:valAx>
        <c:axId val="344773760"/>
        <c:scaling>
          <c:orientation val="minMax"/>
        </c:scaling>
        <c:delete val="1"/>
        <c:axPos val="l"/>
        <c:numFmt formatCode="#,##0" sourceLinked="1"/>
        <c:majorTickMark val="out"/>
        <c:minorTickMark val="none"/>
        <c:tickLblPos val="nextTo"/>
        <c:crossAx val="34476377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Services for people with learning disabilities, 2008/09
(per head of population aged 18-64)</a:t>
            </a:r>
          </a:p>
        </c:rich>
      </c:tx>
      <c:layout>
        <c:manualLayout>
          <c:xMode val="edge"/>
          <c:yMode val="edge"/>
          <c:x val="0.1286765860852285"/>
          <c:y val="2.2222291115733865E-2"/>
        </c:manualLayout>
      </c:layout>
      <c:overlay val="0"/>
      <c:spPr>
        <a:noFill/>
        <a:ln w="25400">
          <a:noFill/>
        </a:ln>
      </c:spPr>
    </c:title>
    <c:autoTitleDeleted val="0"/>
    <c:plotArea>
      <c:layout>
        <c:manualLayout>
          <c:layoutTarget val="inner"/>
          <c:xMode val="edge"/>
          <c:yMode val="edge"/>
          <c:x val="0.13970600774967665"/>
          <c:y val="0.23492136322347229"/>
          <c:w val="0.82720662483361174"/>
          <c:h val="0.49841424359574527"/>
        </c:manualLayout>
      </c:layout>
      <c:barChart>
        <c:barDir val="col"/>
        <c:grouping val="clustered"/>
        <c:varyColors val="0"/>
        <c:ser>
          <c:idx val="1"/>
          <c:order val="0"/>
          <c:tx>
            <c:strRef>
              <c:f>'Per Capita Data - LD'!$C$2</c:f>
              <c:strCache>
                <c:ptCount val="1"/>
                <c:pt idx="0">
                  <c:v>C&amp;F Spend per Capita</c:v>
                </c:pt>
              </c:strCache>
            </c:strRef>
          </c:tx>
          <c:spPr>
            <a:solidFill>
              <a:srgbClr val="0000FF"/>
            </a:solidFill>
            <a:ln w="12700">
              <a:solidFill>
                <a:srgbClr val="000000"/>
              </a:solidFill>
              <a:prstDash val="solid"/>
            </a:ln>
          </c:spPr>
          <c:invertIfNegative val="0"/>
          <c:cat>
            <c:strRef>
              <c:f>'Per Capita Data - LD'!$B$3:$B$34</c:f>
              <c:strCache>
                <c:ptCount val="32"/>
                <c:pt idx="0">
                  <c:v>Shetland Islands</c:v>
                </c:pt>
                <c:pt idx="1">
                  <c:v>Scottish Borders</c:v>
                </c:pt>
                <c:pt idx="2">
                  <c:v>Argyll &amp; Bute</c:v>
                </c:pt>
                <c:pt idx="3">
                  <c:v>Dumfries &amp; Galloway</c:v>
                </c:pt>
                <c:pt idx="4">
                  <c:v>East Lothian</c:v>
                </c:pt>
                <c:pt idx="5">
                  <c:v>Aberdeenshire</c:v>
                </c:pt>
                <c:pt idx="6">
                  <c:v>South Ayrshire</c:v>
                </c:pt>
                <c:pt idx="7">
                  <c:v>Orkney Islands</c:v>
                </c:pt>
                <c:pt idx="8">
                  <c:v>Fife</c:v>
                </c:pt>
                <c:pt idx="9">
                  <c:v>East Dunbartonshire</c:v>
                </c:pt>
                <c:pt idx="10">
                  <c:v>Eilean Siar</c:v>
                </c:pt>
                <c:pt idx="11">
                  <c:v>East Renfrewshire</c:v>
                </c:pt>
                <c:pt idx="12">
                  <c:v>Dundee City</c:v>
                </c:pt>
                <c:pt idx="13">
                  <c:v>West Dunbartonshire</c:v>
                </c:pt>
                <c:pt idx="14">
                  <c:v>North Lanarkshire</c:v>
                </c:pt>
                <c:pt idx="15">
                  <c:v>Renfrewshire</c:v>
                </c:pt>
                <c:pt idx="16">
                  <c:v>East Ayrshire</c:v>
                </c:pt>
                <c:pt idx="17">
                  <c:v>Highland</c:v>
                </c:pt>
                <c:pt idx="18">
                  <c:v>Aberdeen City</c:v>
                </c:pt>
                <c:pt idx="19">
                  <c:v>Midlothian</c:v>
                </c:pt>
                <c:pt idx="20">
                  <c:v>Edinburgh</c:v>
                </c:pt>
                <c:pt idx="21">
                  <c:v>Stirling</c:v>
                </c:pt>
                <c:pt idx="22">
                  <c:v>South Lanarkshire</c:v>
                </c:pt>
                <c:pt idx="23">
                  <c:v>Perth &amp; Kinross</c:v>
                </c:pt>
                <c:pt idx="24">
                  <c:v>North Ayrshire</c:v>
                </c:pt>
                <c:pt idx="25">
                  <c:v>Falkirk</c:v>
                </c:pt>
                <c:pt idx="26">
                  <c:v>Inverclyde</c:v>
                </c:pt>
                <c:pt idx="27">
                  <c:v>Moray</c:v>
                </c:pt>
                <c:pt idx="28">
                  <c:v>Angus</c:v>
                </c:pt>
                <c:pt idx="29">
                  <c:v>Glasgow City</c:v>
                </c:pt>
                <c:pt idx="30">
                  <c:v>West Lothian</c:v>
                </c:pt>
                <c:pt idx="31">
                  <c:v>Clackmannanshire</c:v>
                </c:pt>
              </c:strCache>
            </c:strRef>
          </c:cat>
          <c:val>
            <c:numRef>
              <c:f>'Per Capita Data - LD'!$C$3:$C$34</c:f>
              <c:numCache>
                <c:formatCode>#,##0</c:formatCode>
                <c:ptCount val="32"/>
                <c:pt idx="0">
                  <c:v>425.15224472454327</c:v>
                </c:pt>
                <c:pt idx="1">
                  <c:v>281.5632476302959</c:v>
                </c:pt>
                <c:pt idx="2">
                  <c:v>280.14845943876048</c:v>
                </c:pt>
                <c:pt idx="3">
                  <c:v>268.9659143251958</c:v>
                </c:pt>
                <c:pt idx="4">
                  <c:v>268.67401060791514</c:v>
                </c:pt>
                <c:pt idx="5">
                  <c:v>258.37688479907979</c:v>
                </c:pt>
                <c:pt idx="6">
                  <c:v>258.12147967727208</c:v>
                </c:pt>
                <c:pt idx="7">
                  <c:v>257.89146322500392</c:v>
                </c:pt>
                <c:pt idx="8">
                  <c:v>252.41003720131633</c:v>
                </c:pt>
                <c:pt idx="9">
                  <c:v>241.42469750551072</c:v>
                </c:pt>
                <c:pt idx="10">
                  <c:v>241.35962965311688</c:v>
                </c:pt>
                <c:pt idx="11">
                  <c:v>239.87175210348789</c:v>
                </c:pt>
                <c:pt idx="12">
                  <c:v>234.96826312752452</c:v>
                </c:pt>
                <c:pt idx="13">
                  <c:v>222.77949702984384</c:v>
                </c:pt>
                <c:pt idx="14">
                  <c:v>212.25512485316963</c:v>
                </c:pt>
                <c:pt idx="15">
                  <c:v>210.88221998763802</c:v>
                </c:pt>
                <c:pt idx="16">
                  <c:v>209.49836350277204</c:v>
                </c:pt>
                <c:pt idx="17">
                  <c:v>203.72346902959148</c:v>
                </c:pt>
                <c:pt idx="18">
                  <c:v>200.49764857864693</c:v>
                </c:pt>
                <c:pt idx="19">
                  <c:v>198.00689919509389</c:v>
                </c:pt>
                <c:pt idx="20">
                  <c:v>191.26761911599303</c:v>
                </c:pt>
                <c:pt idx="21">
                  <c:v>187.29817007534984</c:v>
                </c:pt>
                <c:pt idx="22">
                  <c:v>186.36951730274561</c:v>
                </c:pt>
                <c:pt idx="23">
                  <c:v>183.86712771384842</c:v>
                </c:pt>
                <c:pt idx="24">
                  <c:v>183.45133288185681</c:v>
                </c:pt>
                <c:pt idx="25">
                  <c:v>182.85421994884911</c:v>
                </c:pt>
                <c:pt idx="26">
                  <c:v>181.53170553194951</c:v>
                </c:pt>
                <c:pt idx="27">
                  <c:v>180.62536373736839</c:v>
                </c:pt>
                <c:pt idx="28">
                  <c:v>169.36190086986983</c:v>
                </c:pt>
                <c:pt idx="29">
                  <c:v>168.64559037139534</c:v>
                </c:pt>
                <c:pt idx="30">
                  <c:v>146.86162560283753</c:v>
                </c:pt>
                <c:pt idx="31">
                  <c:v>140.41258674778973</c:v>
                </c:pt>
              </c:numCache>
            </c:numRef>
          </c:val>
        </c:ser>
        <c:dLbls>
          <c:showLegendKey val="0"/>
          <c:showVal val="0"/>
          <c:showCatName val="0"/>
          <c:showSerName val="0"/>
          <c:showPercent val="0"/>
          <c:showBubbleSize val="0"/>
        </c:dLbls>
        <c:gapWidth val="150"/>
        <c:overlap val="100"/>
        <c:axId val="344799872"/>
        <c:axId val="344801664"/>
      </c:barChart>
      <c:lineChart>
        <c:grouping val="standard"/>
        <c:varyColors val="0"/>
        <c:ser>
          <c:idx val="2"/>
          <c:order val="1"/>
          <c:tx>
            <c:strRef>
              <c:f>'Per Capita Data - LD'!$E$2</c:f>
              <c:strCache>
                <c:ptCount val="1"/>
                <c:pt idx="0">
                  <c:v>Average Spend per Capita</c:v>
                </c:pt>
              </c:strCache>
            </c:strRef>
          </c:tx>
          <c:spPr>
            <a:ln w="25400">
              <a:solidFill>
                <a:srgbClr val="000000"/>
              </a:solidFill>
              <a:prstDash val="solid"/>
            </a:ln>
          </c:spPr>
          <c:marker>
            <c:symbol val="none"/>
          </c:marker>
          <c:cat>
            <c:strRef>
              <c:f>'Per Capita Data - LD'!$B$3:$B$34</c:f>
              <c:strCache>
                <c:ptCount val="32"/>
                <c:pt idx="0">
                  <c:v>Shetland Islands</c:v>
                </c:pt>
                <c:pt idx="1">
                  <c:v>Scottish Borders</c:v>
                </c:pt>
                <c:pt idx="2">
                  <c:v>Argyll &amp; Bute</c:v>
                </c:pt>
                <c:pt idx="3">
                  <c:v>Dumfries &amp; Galloway</c:v>
                </c:pt>
                <c:pt idx="4">
                  <c:v>East Lothian</c:v>
                </c:pt>
                <c:pt idx="5">
                  <c:v>Aberdeenshire</c:v>
                </c:pt>
                <c:pt idx="6">
                  <c:v>South Ayrshire</c:v>
                </c:pt>
                <c:pt idx="7">
                  <c:v>Orkney Islands</c:v>
                </c:pt>
                <c:pt idx="8">
                  <c:v>Fife</c:v>
                </c:pt>
                <c:pt idx="9">
                  <c:v>East Dunbartonshire</c:v>
                </c:pt>
                <c:pt idx="10">
                  <c:v>Eilean Siar</c:v>
                </c:pt>
                <c:pt idx="11">
                  <c:v>East Renfrewshire</c:v>
                </c:pt>
                <c:pt idx="12">
                  <c:v>Dundee City</c:v>
                </c:pt>
                <c:pt idx="13">
                  <c:v>West Dunbartonshire</c:v>
                </c:pt>
                <c:pt idx="14">
                  <c:v>North Lanarkshire</c:v>
                </c:pt>
                <c:pt idx="15">
                  <c:v>Renfrewshire</c:v>
                </c:pt>
                <c:pt idx="16">
                  <c:v>East Ayrshire</c:v>
                </c:pt>
                <c:pt idx="17">
                  <c:v>Highland</c:v>
                </c:pt>
                <c:pt idx="18">
                  <c:v>Aberdeen City</c:v>
                </c:pt>
                <c:pt idx="19">
                  <c:v>Midlothian</c:v>
                </c:pt>
                <c:pt idx="20">
                  <c:v>Edinburgh</c:v>
                </c:pt>
                <c:pt idx="21">
                  <c:v>Stirling</c:v>
                </c:pt>
                <c:pt idx="22">
                  <c:v>South Lanarkshire</c:v>
                </c:pt>
                <c:pt idx="23">
                  <c:v>Perth &amp; Kinross</c:v>
                </c:pt>
                <c:pt idx="24">
                  <c:v>North Ayrshire</c:v>
                </c:pt>
                <c:pt idx="25">
                  <c:v>Falkirk</c:v>
                </c:pt>
                <c:pt idx="26">
                  <c:v>Inverclyde</c:v>
                </c:pt>
                <c:pt idx="27">
                  <c:v>Moray</c:v>
                </c:pt>
                <c:pt idx="28">
                  <c:v>Angus</c:v>
                </c:pt>
                <c:pt idx="29">
                  <c:v>Glasgow City</c:v>
                </c:pt>
                <c:pt idx="30">
                  <c:v>West Lothian</c:v>
                </c:pt>
                <c:pt idx="31">
                  <c:v>Clackmannanshire</c:v>
                </c:pt>
              </c:strCache>
            </c:strRef>
          </c:cat>
          <c:val>
            <c:numRef>
              <c:f>'Per Capita Data - LD'!$E$3:$E$34</c:f>
              <c:numCache>
                <c:formatCode>#,##0</c:formatCode>
                <c:ptCount val="32"/>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pt idx="21">
                  <c:v>48</c:v>
                </c:pt>
                <c:pt idx="22">
                  <c:v>48</c:v>
                </c:pt>
                <c:pt idx="23">
                  <c:v>48</c:v>
                </c:pt>
                <c:pt idx="24">
                  <c:v>48</c:v>
                </c:pt>
                <c:pt idx="25">
                  <c:v>48</c:v>
                </c:pt>
                <c:pt idx="26">
                  <c:v>48</c:v>
                </c:pt>
                <c:pt idx="27">
                  <c:v>48</c:v>
                </c:pt>
                <c:pt idx="28">
                  <c:v>48</c:v>
                </c:pt>
                <c:pt idx="29">
                  <c:v>48</c:v>
                </c:pt>
                <c:pt idx="30">
                  <c:v>48</c:v>
                </c:pt>
                <c:pt idx="31">
                  <c:v>48</c:v>
                </c:pt>
              </c:numCache>
            </c:numRef>
          </c:val>
          <c:smooth val="0"/>
        </c:ser>
        <c:dLbls>
          <c:showLegendKey val="0"/>
          <c:showVal val="0"/>
          <c:showCatName val="0"/>
          <c:showSerName val="0"/>
          <c:showPercent val="0"/>
          <c:showBubbleSize val="0"/>
        </c:dLbls>
        <c:marker val="1"/>
        <c:smooth val="0"/>
        <c:axId val="344803584"/>
        <c:axId val="344805376"/>
      </c:lineChart>
      <c:catAx>
        <c:axId val="344799872"/>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4801664"/>
        <c:crosses val="autoZero"/>
        <c:auto val="0"/>
        <c:lblAlgn val="ctr"/>
        <c:lblOffset val="100"/>
        <c:tickLblSkip val="1"/>
        <c:tickMarkSkip val="1"/>
        <c:noMultiLvlLbl val="0"/>
      </c:catAx>
      <c:valAx>
        <c:axId val="3448016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18-64 (£)</a:t>
                </a:r>
              </a:p>
            </c:rich>
          </c:tx>
          <c:layout>
            <c:manualLayout>
              <c:xMode val="edge"/>
              <c:yMode val="edge"/>
              <c:x val="9.1911847203734638E-3"/>
              <c:y val="0.22539752417387207"/>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799872"/>
        <c:crosses val="autoZero"/>
        <c:crossBetween val="between"/>
      </c:valAx>
      <c:catAx>
        <c:axId val="344803584"/>
        <c:scaling>
          <c:orientation val="minMax"/>
        </c:scaling>
        <c:delete val="1"/>
        <c:axPos val="b"/>
        <c:majorTickMark val="out"/>
        <c:minorTickMark val="none"/>
        <c:tickLblPos val="nextTo"/>
        <c:crossAx val="344805376"/>
        <c:crosses val="autoZero"/>
        <c:auto val="0"/>
        <c:lblAlgn val="ctr"/>
        <c:lblOffset val="100"/>
        <c:noMultiLvlLbl val="0"/>
      </c:catAx>
      <c:valAx>
        <c:axId val="344805376"/>
        <c:scaling>
          <c:orientation val="minMax"/>
        </c:scaling>
        <c:delete val="1"/>
        <c:axPos val="l"/>
        <c:numFmt formatCode="#,##0" sourceLinked="1"/>
        <c:majorTickMark val="out"/>
        <c:minorTickMark val="none"/>
        <c:tickLblPos val="nextTo"/>
        <c:crossAx val="34480358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Children and families services
(per head of 0-17 population)</a:t>
            </a:r>
          </a:p>
        </c:rich>
      </c:tx>
      <c:layout>
        <c:manualLayout>
          <c:xMode val="edge"/>
          <c:yMode val="edge"/>
          <c:x val="0.13602953386152727"/>
          <c:y val="3.7037158818519891E-2"/>
        </c:manualLayout>
      </c:layout>
      <c:overlay val="0"/>
      <c:spPr>
        <a:noFill/>
        <a:ln w="25400">
          <a:noFill/>
        </a:ln>
      </c:spPr>
    </c:title>
    <c:autoTitleDeleted val="0"/>
    <c:plotArea>
      <c:layout>
        <c:manualLayout>
          <c:layoutTarget val="inner"/>
          <c:xMode val="edge"/>
          <c:yMode val="edge"/>
          <c:x val="0.15441190330227419"/>
          <c:y val="0.17171773634041043"/>
          <c:w val="0.80514778150471544"/>
          <c:h val="0.60942961328655465"/>
        </c:manualLayout>
      </c:layout>
      <c:lineChart>
        <c:grouping val="standard"/>
        <c:varyColors val="0"/>
        <c:ser>
          <c:idx val="0"/>
          <c:order val="0"/>
          <c:tx>
            <c:strRef>
              <c:f>Scotland!$J$142:$K$142</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Scotland!$L$141:$Q$141</c:f>
              <c:strCache>
                <c:ptCount val="6"/>
                <c:pt idx="0">
                  <c:v>2003/04</c:v>
                </c:pt>
                <c:pt idx="1">
                  <c:v>2004/05</c:v>
                </c:pt>
                <c:pt idx="2">
                  <c:v>2005/06</c:v>
                </c:pt>
                <c:pt idx="3">
                  <c:v>2006/07</c:v>
                </c:pt>
                <c:pt idx="4">
                  <c:v>2007/08</c:v>
                </c:pt>
                <c:pt idx="5">
                  <c:v>2008/09</c:v>
                </c:pt>
              </c:strCache>
            </c:strRef>
          </c:cat>
          <c:val>
            <c:numRef>
              <c:f>Scotland!$L$142:$Q$142</c:f>
              <c:numCache>
                <c:formatCode>_-* #,##0_-;\-* #,##0_-;_-* "-"??_-;_-@_-</c:formatCode>
                <c:ptCount val="6"/>
                <c:pt idx="0">
                  <c:v>#N/A</c:v>
                </c:pt>
                <c:pt idx="1">
                  <c:v>#N/A</c:v>
                </c:pt>
                <c:pt idx="2">
                  <c:v>#N/A</c:v>
                </c:pt>
                <c:pt idx="3">
                  <c:v>#N/A</c:v>
                </c:pt>
                <c:pt idx="4">
                  <c:v>#N/A</c:v>
                </c:pt>
                <c:pt idx="5">
                  <c:v>#N/A</c:v>
                </c:pt>
              </c:numCache>
            </c:numRef>
          </c:val>
          <c:smooth val="0"/>
        </c:ser>
        <c:ser>
          <c:idx val="1"/>
          <c:order val="1"/>
          <c:tx>
            <c:strRef>
              <c:f>Scotland!$J$143:$K$143</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Scotland!$L$141:$Q$141</c:f>
              <c:strCache>
                <c:ptCount val="6"/>
                <c:pt idx="0">
                  <c:v>2003/04</c:v>
                </c:pt>
                <c:pt idx="1">
                  <c:v>2004/05</c:v>
                </c:pt>
                <c:pt idx="2">
                  <c:v>2005/06</c:v>
                </c:pt>
                <c:pt idx="3">
                  <c:v>2006/07</c:v>
                </c:pt>
                <c:pt idx="4">
                  <c:v>2007/08</c:v>
                </c:pt>
                <c:pt idx="5">
                  <c:v>2008/09</c:v>
                </c:pt>
              </c:strCache>
            </c:strRef>
          </c:cat>
          <c:val>
            <c:numRef>
              <c:f>Scotland!$L$143:$Q$143</c:f>
              <c:numCache>
                <c:formatCode>_-* #,##0_-;\-* #,##0_-;_-* "-"??_-;_-@_-</c:formatCode>
                <c:ptCount val="6"/>
                <c:pt idx="0">
                  <c:v>564.74904481833971</c:v>
                </c:pt>
                <c:pt idx="1">
                  <c:v>619.27459161801517</c:v>
                </c:pt>
                <c:pt idx="2">
                  <c:v>658.30916738604049</c:v>
                </c:pt>
                <c:pt idx="3">
                  <c:v>700.18356310428169</c:v>
                </c:pt>
                <c:pt idx="4">
                  <c:v>732.4250190339128</c:v>
                </c:pt>
                <c:pt idx="5">
                  <c:v>751.9286558903126</c:v>
                </c:pt>
              </c:numCache>
            </c:numRef>
          </c:val>
          <c:smooth val="0"/>
        </c:ser>
        <c:ser>
          <c:idx val="2"/>
          <c:order val="2"/>
          <c:tx>
            <c:strRef>
              <c:f>Scotland!$K$144</c:f>
              <c:strCache>
                <c:ptCount val="1"/>
                <c:pt idx="0">
                  <c:v>Min</c:v>
                </c:pt>
              </c:strCache>
            </c:strRef>
          </c:tx>
          <c:spPr>
            <a:ln w="25400">
              <a:solidFill>
                <a:srgbClr val="000000"/>
              </a:solidFill>
              <a:prstDash val="sysDash"/>
            </a:ln>
          </c:spPr>
          <c:marker>
            <c:symbol val="none"/>
          </c:marker>
          <c:val>
            <c:numRef>
              <c:f>Scotland!$L$144:$Q$144</c:f>
              <c:numCache>
                <c:formatCode>#,##0</c:formatCode>
                <c:ptCount val="6"/>
                <c:pt idx="0">
                  <c:v>209.28037421848165</c:v>
                </c:pt>
                <c:pt idx="1">
                  <c:v>261.67783970958658</c:v>
                </c:pt>
                <c:pt idx="2">
                  <c:v>248.67706729007546</c:v>
                </c:pt>
                <c:pt idx="3">
                  <c:v>276.83438973215533</c:v>
                </c:pt>
                <c:pt idx="4">
                  <c:v>306.79223231781197</c:v>
                </c:pt>
                <c:pt idx="5">
                  <c:v>330.88971614722914</c:v>
                </c:pt>
              </c:numCache>
            </c:numRef>
          </c:val>
          <c:smooth val="0"/>
        </c:ser>
        <c:ser>
          <c:idx val="3"/>
          <c:order val="3"/>
          <c:tx>
            <c:strRef>
              <c:f>Scotland!$K$145</c:f>
              <c:strCache>
                <c:ptCount val="1"/>
                <c:pt idx="0">
                  <c:v>Max</c:v>
                </c:pt>
              </c:strCache>
            </c:strRef>
          </c:tx>
          <c:spPr>
            <a:ln w="25400">
              <a:solidFill>
                <a:srgbClr val="000000"/>
              </a:solidFill>
              <a:prstDash val="sysDash"/>
            </a:ln>
          </c:spPr>
          <c:marker>
            <c:symbol val="none"/>
          </c:marker>
          <c:val>
            <c:numRef>
              <c:f>Scotland!$L$145:$Q$145</c:f>
              <c:numCache>
                <c:formatCode>#,##0</c:formatCode>
                <c:ptCount val="6"/>
                <c:pt idx="0">
                  <c:v>1004.8155113616675</c:v>
                </c:pt>
                <c:pt idx="1">
                  <c:v>1189.0082917032444</c:v>
                </c:pt>
                <c:pt idx="2">
                  <c:v>1245.2543575449426</c:v>
                </c:pt>
                <c:pt idx="3">
                  <c:v>1216.3743439353234</c:v>
                </c:pt>
                <c:pt idx="4">
                  <c:v>1288.4604786419095</c:v>
                </c:pt>
                <c:pt idx="5">
                  <c:v>1320.9611929470636</c:v>
                </c:pt>
              </c:numCache>
            </c:numRef>
          </c:val>
          <c:smooth val="0"/>
        </c:ser>
        <c:dLbls>
          <c:showLegendKey val="0"/>
          <c:showVal val="0"/>
          <c:showCatName val="0"/>
          <c:showSerName val="0"/>
          <c:showPercent val="0"/>
          <c:showBubbleSize val="0"/>
        </c:dLbls>
        <c:marker val="1"/>
        <c:smooth val="0"/>
        <c:axId val="344843392"/>
        <c:axId val="344844928"/>
      </c:lineChart>
      <c:catAx>
        <c:axId val="3448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4844928"/>
        <c:crosses val="autoZero"/>
        <c:auto val="1"/>
        <c:lblAlgn val="ctr"/>
        <c:lblOffset val="100"/>
        <c:tickLblSkip val="1"/>
        <c:tickMarkSkip val="1"/>
        <c:noMultiLvlLbl val="0"/>
      </c:catAx>
      <c:valAx>
        <c:axId val="3448449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0-17 population (£)</a:t>
                </a:r>
              </a:p>
            </c:rich>
          </c:tx>
          <c:layout>
            <c:manualLayout>
              <c:xMode val="edge"/>
              <c:yMode val="edge"/>
              <c:x val="9.1911847203734638E-3"/>
              <c:y val="0.1616166930262686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843392"/>
        <c:crosses val="autoZero"/>
        <c:crossBetween val="between"/>
      </c:valAx>
      <c:spPr>
        <a:noFill/>
        <a:ln w="25400">
          <a:noFill/>
        </a:ln>
      </c:spPr>
    </c:plotArea>
    <c:legend>
      <c:legendPos val="b"/>
      <c:legendEntry>
        <c:idx val="0"/>
        <c:delete val="1"/>
      </c:legendEntry>
      <c:layout>
        <c:manualLayout>
          <c:xMode val="edge"/>
          <c:yMode val="edge"/>
          <c:x val="0.30330909577232429"/>
          <c:y val="0.90572688383471378"/>
          <c:w val="0.44669157741015031"/>
          <c:h val="7.7441332075087049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Older people's services
(per head of 65+ population)
</a:t>
            </a:r>
          </a:p>
        </c:rich>
      </c:tx>
      <c:layout>
        <c:manualLayout>
          <c:xMode val="edge"/>
          <c:yMode val="edge"/>
          <c:x val="0.18265682656826568"/>
          <c:y val="3.5143824792558148E-2"/>
        </c:manualLayout>
      </c:layout>
      <c:overlay val="0"/>
      <c:spPr>
        <a:noFill/>
        <a:ln w="25400">
          <a:noFill/>
        </a:ln>
      </c:spPr>
    </c:title>
    <c:autoTitleDeleted val="0"/>
    <c:plotArea>
      <c:layout>
        <c:manualLayout>
          <c:layoutTarget val="inner"/>
          <c:xMode val="edge"/>
          <c:yMode val="edge"/>
          <c:x val="0.18819188191881919"/>
          <c:y val="0.22044762824422837"/>
          <c:w val="0.78413284132841332"/>
          <c:h val="0.5654960898438901"/>
        </c:manualLayout>
      </c:layout>
      <c:lineChart>
        <c:grouping val="standard"/>
        <c:varyColors val="0"/>
        <c:ser>
          <c:idx val="0"/>
          <c:order val="0"/>
          <c:tx>
            <c:strRef>
              <c:f>Scotland!$J$436:$K$436</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Scotland!$L$435:$Q$435</c:f>
              <c:strCache>
                <c:ptCount val="6"/>
                <c:pt idx="0">
                  <c:v>2003/04</c:v>
                </c:pt>
                <c:pt idx="1">
                  <c:v>2004/05</c:v>
                </c:pt>
                <c:pt idx="2">
                  <c:v>2005/06</c:v>
                </c:pt>
                <c:pt idx="3">
                  <c:v>2006/07</c:v>
                </c:pt>
                <c:pt idx="4">
                  <c:v>2007/08</c:v>
                </c:pt>
                <c:pt idx="5">
                  <c:v>2008/09</c:v>
                </c:pt>
              </c:strCache>
            </c:strRef>
          </c:cat>
          <c:val>
            <c:numRef>
              <c:f>Scotland!$L$436:$Q$436</c:f>
              <c:numCache>
                <c:formatCode>_-* #,##0_-;\-* #,##0_-;_-* "-"??_-;_-@_-</c:formatCode>
                <c:ptCount val="6"/>
                <c:pt idx="0">
                  <c:v>#N/A</c:v>
                </c:pt>
                <c:pt idx="1">
                  <c:v>#N/A</c:v>
                </c:pt>
                <c:pt idx="2">
                  <c:v>#N/A</c:v>
                </c:pt>
                <c:pt idx="3">
                  <c:v>#N/A</c:v>
                </c:pt>
                <c:pt idx="4">
                  <c:v>#N/A</c:v>
                </c:pt>
                <c:pt idx="5">
                  <c:v>#N/A</c:v>
                </c:pt>
              </c:numCache>
            </c:numRef>
          </c:val>
          <c:smooth val="0"/>
        </c:ser>
        <c:ser>
          <c:idx val="1"/>
          <c:order val="1"/>
          <c:tx>
            <c:strRef>
              <c:f>Scotland!$J$437:$K$437</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Scotland!$L$435:$Q$435</c:f>
              <c:strCache>
                <c:ptCount val="6"/>
                <c:pt idx="0">
                  <c:v>2003/04</c:v>
                </c:pt>
                <c:pt idx="1">
                  <c:v>2004/05</c:v>
                </c:pt>
                <c:pt idx="2">
                  <c:v>2005/06</c:v>
                </c:pt>
                <c:pt idx="3">
                  <c:v>2006/07</c:v>
                </c:pt>
                <c:pt idx="4">
                  <c:v>2007/08</c:v>
                </c:pt>
                <c:pt idx="5">
                  <c:v>2008/09</c:v>
                </c:pt>
              </c:strCache>
            </c:strRef>
          </c:cat>
          <c:val>
            <c:numRef>
              <c:f>Scotland!$L$437:$Q$437</c:f>
              <c:numCache>
                <c:formatCode>_-* #,##0_-;\-* #,##0_-;_-* "-"??_-;_-@_-</c:formatCode>
                <c:ptCount val="6"/>
                <c:pt idx="0">
                  <c:v>1716.7895981970539</c:v>
                </c:pt>
                <c:pt idx="1">
                  <c:v>1759.2771006316841</c:v>
                </c:pt>
                <c:pt idx="2">
                  <c:v>1782.7640193268971</c:v>
                </c:pt>
                <c:pt idx="3">
                  <c:v>1857.8620376218603</c:v>
                </c:pt>
                <c:pt idx="4">
                  <c:v>1925.7065761209928</c:v>
                </c:pt>
                <c:pt idx="5">
                  <c:v>1966.6403310508738</c:v>
                </c:pt>
              </c:numCache>
            </c:numRef>
          </c:val>
          <c:smooth val="0"/>
        </c:ser>
        <c:ser>
          <c:idx val="2"/>
          <c:order val="2"/>
          <c:tx>
            <c:strRef>
              <c:f>Scotland!$K$438</c:f>
              <c:strCache>
                <c:ptCount val="1"/>
                <c:pt idx="0">
                  <c:v>Min</c:v>
                </c:pt>
              </c:strCache>
            </c:strRef>
          </c:tx>
          <c:spPr>
            <a:ln w="25400">
              <a:solidFill>
                <a:srgbClr val="000000"/>
              </a:solidFill>
              <a:prstDash val="sysDash"/>
            </a:ln>
          </c:spPr>
          <c:marker>
            <c:symbol val="none"/>
          </c:marker>
          <c:val>
            <c:numRef>
              <c:f>Scotland!$L$438:$Q$438</c:f>
              <c:numCache>
                <c:formatCode>#,##0</c:formatCode>
                <c:ptCount val="6"/>
                <c:pt idx="0">
                  <c:v>1120.3937023176686</c:v>
                </c:pt>
                <c:pt idx="1">
                  <c:v>1112.032729825658</c:v>
                </c:pt>
                <c:pt idx="2">
                  <c:v>1128.1241915949995</c:v>
                </c:pt>
                <c:pt idx="3">
                  <c:v>1205.0569635348493</c:v>
                </c:pt>
                <c:pt idx="4">
                  <c:v>1244.0992076183945</c:v>
                </c:pt>
                <c:pt idx="5">
                  <c:v>1273.1423997518855</c:v>
                </c:pt>
              </c:numCache>
            </c:numRef>
          </c:val>
          <c:smooth val="0"/>
        </c:ser>
        <c:ser>
          <c:idx val="3"/>
          <c:order val="3"/>
          <c:tx>
            <c:strRef>
              <c:f>Scotland!$K$439</c:f>
              <c:strCache>
                <c:ptCount val="1"/>
                <c:pt idx="0">
                  <c:v>Max</c:v>
                </c:pt>
              </c:strCache>
            </c:strRef>
          </c:tx>
          <c:spPr>
            <a:ln w="25400">
              <a:solidFill>
                <a:srgbClr val="000000"/>
              </a:solidFill>
              <a:prstDash val="sysDash"/>
            </a:ln>
          </c:spPr>
          <c:marker>
            <c:symbol val="none"/>
          </c:marker>
          <c:val>
            <c:numRef>
              <c:f>Scotland!$L$439:$Q$439</c:f>
              <c:numCache>
                <c:formatCode>#,##0</c:formatCode>
                <c:ptCount val="6"/>
                <c:pt idx="0">
                  <c:v>2692.0803040060123</c:v>
                </c:pt>
                <c:pt idx="1">
                  <c:v>2692.3500393489712</c:v>
                </c:pt>
                <c:pt idx="2">
                  <c:v>3471.7851428194872</c:v>
                </c:pt>
                <c:pt idx="3">
                  <c:v>3283.1972982154457</c:v>
                </c:pt>
                <c:pt idx="4">
                  <c:v>3087.5163940941525</c:v>
                </c:pt>
                <c:pt idx="5">
                  <c:v>3441.0112593310623</c:v>
                </c:pt>
              </c:numCache>
            </c:numRef>
          </c:val>
          <c:smooth val="0"/>
        </c:ser>
        <c:dLbls>
          <c:showLegendKey val="0"/>
          <c:showVal val="0"/>
          <c:showCatName val="0"/>
          <c:showSerName val="0"/>
          <c:showPercent val="0"/>
          <c:showBubbleSize val="0"/>
        </c:dLbls>
        <c:marker val="1"/>
        <c:smooth val="0"/>
        <c:axId val="344561536"/>
        <c:axId val="344563072"/>
      </c:lineChart>
      <c:catAx>
        <c:axId val="34456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4563072"/>
        <c:crosses val="autoZero"/>
        <c:auto val="1"/>
        <c:lblAlgn val="ctr"/>
        <c:lblOffset val="100"/>
        <c:tickLblSkip val="1"/>
        <c:tickMarkSkip val="1"/>
        <c:noMultiLvlLbl val="0"/>
      </c:catAx>
      <c:valAx>
        <c:axId val="3445630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65+ population (£)</a:t>
                </a:r>
              </a:p>
            </c:rich>
          </c:tx>
          <c:layout>
            <c:manualLayout>
              <c:xMode val="edge"/>
              <c:yMode val="edge"/>
              <c:x val="3.3210332103321034E-2"/>
              <c:y val="0.207668055592389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561536"/>
        <c:crosses val="autoZero"/>
        <c:crossBetween val="between"/>
      </c:valAx>
      <c:spPr>
        <a:noFill/>
        <a:ln w="25400">
          <a:noFill/>
        </a:ln>
      </c:spPr>
    </c:plotArea>
    <c:legend>
      <c:legendPos val="b"/>
      <c:legendEntry>
        <c:idx val="0"/>
        <c:delete val="1"/>
      </c:legendEntry>
      <c:layout>
        <c:manualLayout>
          <c:xMode val="edge"/>
          <c:yMode val="edge"/>
          <c:x val="0.24907749077490776"/>
          <c:y val="0.91693433776947164"/>
          <c:w val="0.44833948339483393"/>
          <c:h val="7.348254274807612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Learning disability services 
(per head of population aged 18-64)</a:t>
            </a:r>
          </a:p>
        </c:rich>
      </c:tx>
      <c:layout>
        <c:manualLayout>
          <c:xMode val="edge"/>
          <c:yMode val="edge"/>
          <c:x val="0.15313653136531366"/>
          <c:y val="3.5971223021582732E-2"/>
        </c:manualLayout>
      </c:layout>
      <c:overlay val="0"/>
      <c:spPr>
        <a:noFill/>
        <a:ln w="25400">
          <a:noFill/>
        </a:ln>
      </c:spPr>
    </c:title>
    <c:autoTitleDeleted val="0"/>
    <c:plotArea>
      <c:layout>
        <c:manualLayout>
          <c:layoutTarget val="inner"/>
          <c:xMode val="edge"/>
          <c:yMode val="edge"/>
          <c:x val="0.14206642066420663"/>
          <c:y val="0.1906474820143885"/>
          <c:w val="0.80442804428044279"/>
          <c:h val="0.60071942446043169"/>
        </c:manualLayout>
      </c:layout>
      <c:lineChart>
        <c:grouping val="standard"/>
        <c:varyColors val="0"/>
        <c:ser>
          <c:idx val="0"/>
          <c:order val="0"/>
          <c:tx>
            <c:strRef>
              <c:f>Scotland!$J$755:$K$755</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Scotland!$L$754:$Q$754</c:f>
              <c:strCache>
                <c:ptCount val="6"/>
                <c:pt idx="0">
                  <c:v>2003/04</c:v>
                </c:pt>
                <c:pt idx="1">
                  <c:v>2004/05</c:v>
                </c:pt>
                <c:pt idx="2">
                  <c:v>2005/06</c:v>
                </c:pt>
                <c:pt idx="3">
                  <c:v>2006/07</c:v>
                </c:pt>
                <c:pt idx="4">
                  <c:v>2007/08</c:v>
                </c:pt>
                <c:pt idx="5">
                  <c:v>2008/09</c:v>
                </c:pt>
              </c:strCache>
            </c:strRef>
          </c:cat>
          <c:val>
            <c:numRef>
              <c:f>Scotland!$L$755:$Q$755</c:f>
              <c:numCache>
                <c:formatCode>_-* #,##0_-;\-* #,##0_-;_-* "-"??_-;_-@_-</c:formatCode>
                <c:ptCount val="6"/>
                <c:pt idx="0">
                  <c:v>#N/A</c:v>
                </c:pt>
                <c:pt idx="1">
                  <c:v>#N/A</c:v>
                </c:pt>
                <c:pt idx="2">
                  <c:v>#N/A</c:v>
                </c:pt>
                <c:pt idx="3">
                  <c:v>#N/A</c:v>
                </c:pt>
                <c:pt idx="4">
                  <c:v>#N/A</c:v>
                </c:pt>
                <c:pt idx="5">
                  <c:v>#N/A</c:v>
                </c:pt>
              </c:numCache>
            </c:numRef>
          </c:val>
          <c:smooth val="0"/>
        </c:ser>
        <c:ser>
          <c:idx val="1"/>
          <c:order val="1"/>
          <c:tx>
            <c:strRef>
              <c:f>Scotland!$J$756:$K$756</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Scotland!$L$754:$Q$754</c:f>
              <c:strCache>
                <c:ptCount val="6"/>
                <c:pt idx="0">
                  <c:v>2003/04</c:v>
                </c:pt>
                <c:pt idx="1">
                  <c:v>2004/05</c:v>
                </c:pt>
                <c:pt idx="2">
                  <c:v>2005/06</c:v>
                </c:pt>
                <c:pt idx="3">
                  <c:v>2006/07</c:v>
                </c:pt>
                <c:pt idx="4">
                  <c:v>2007/08</c:v>
                </c:pt>
                <c:pt idx="5">
                  <c:v>2008/09</c:v>
                </c:pt>
              </c:strCache>
            </c:strRef>
          </c:cat>
          <c:val>
            <c:numRef>
              <c:f>Scotland!$L$756:$Q$756</c:f>
              <c:numCache>
                <c:formatCode>_-* #,##0_-;\-* #,##0_-;_-* "-"??_-;_-@_-</c:formatCode>
                <c:ptCount val="6"/>
                <c:pt idx="0">
                  <c:v>154.92817620874149</c:v>
                </c:pt>
                <c:pt idx="1">
                  <c:v>168.17148857329011</c:v>
                </c:pt>
                <c:pt idx="2">
                  <c:v>175.55222051845143</c:v>
                </c:pt>
                <c:pt idx="3">
                  <c:v>179.33738727845005</c:v>
                </c:pt>
                <c:pt idx="4">
                  <c:v>184.78288386532901</c:v>
                </c:pt>
                <c:pt idx="5">
                  <c:v>199.58991320888421</c:v>
                </c:pt>
              </c:numCache>
            </c:numRef>
          </c:val>
          <c:smooth val="0"/>
        </c:ser>
        <c:ser>
          <c:idx val="2"/>
          <c:order val="2"/>
          <c:tx>
            <c:strRef>
              <c:f>Scotland!$K$757</c:f>
              <c:strCache>
                <c:ptCount val="1"/>
                <c:pt idx="0">
                  <c:v>Min</c:v>
                </c:pt>
              </c:strCache>
            </c:strRef>
          </c:tx>
          <c:spPr>
            <a:ln w="25400">
              <a:solidFill>
                <a:srgbClr val="000000"/>
              </a:solidFill>
              <a:prstDash val="sysDash"/>
            </a:ln>
          </c:spPr>
          <c:marker>
            <c:symbol val="none"/>
          </c:marker>
          <c:val>
            <c:numRef>
              <c:f>Scotland!$L$757:$Q$757</c:f>
              <c:numCache>
                <c:formatCode>#,##0</c:formatCode>
                <c:ptCount val="6"/>
                <c:pt idx="0">
                  <c:v>88.73978173766514</c:v>
                </c:pt>
                <c:pt idx="1">
                  <c:v>105.29100146688718</c:v>
                </c:pt>
                <c:pt idx="2">
                  <c:v>114.35583424194054</c:v>
                </c:pt>
                <c:pt idx="3">
                  <c:v>115.80674615780133</c:v>
                </c:pt>
                <c:pt idx="4">
                  <c:v>125.7259207375746</c:v>
                </c:pt>
                <c:pt idx="5">
                  <c:v>127.63015402767557</c:v>
                </c:pt>
              </c:numCache>
            </c:numRef>
          </c:val>
          <c:smooth val="0"/>
        </c:ser>
        <c:ser>
          <c:idx val="3"/>
          <c:order val="3"/>
          <c:tx>
            <c:strRef>
              <c:f>Scotland!$K$758</c:f>
              <c:strCache>
                <c:ptCount val="1"/>
                <c:pt idx="0">
                  <c:v>Max</c:v>
                </c:pt>
              </c:strCache>
            </c:strRef>
          </c:tx>
          <c:spPr>
            <a:ln w="25400">
              <a:solidFill>
                <a:srgbClr val="000000"/>
              </a:solidFill>
              <a:prstDash val="sysDash"/>
            </a:ln>
          </c:spPr>
          <c:marker>
            <c:symbol val="none"/>
          </c:marker>
          <c:val>
            <c:numRef>
              <c:f>Scotland!$L$758:$Q$758</c:f>
              <c:numCache>
                <c:formatCode>#,##0</c:formatCode>
                <c:ptCount val="6"/>
                <c:pt idx="0">
                  <c:v>317.10276660389053</c:v>
                </c:pt>
                <c:pt idx="1">
                  <c:v>296.08824112715894</c:v>
                </c:pt>
                <c:pt idx="2">
                  <c:v>260.04125337351007</c:v>
                </c:pt>
                <c:pt idx="3">
                  <c:v>282.5596496367171</c:v>
                </c:pt>
                <c:pt idx="4">
                  <c:v>295.7516247066855</c:v>
                </c:pt>
                <c:pt idx="5">
                  <c:v>339.21353412579413</c:v>
                </c:pt>
              </c:numCache>
            </c:numRef>
          </c:val>
          <c:smooth val="0"/>
        </c:ser>
        <c:dLbls>
          <c:showLegendKey val="0"/>
          <c:showVal val="0"/>
          <c:showCatName val="0"/>
          <c:showSerName val="0"/>
          <c:showPercent val="0"/>
          <c:showBubbleSize val="0"/>
        </c:dLbls>
        <c:marker val="1"/>
        <c:smooth val="0"/>
        <c:axId val="345123456"/>
        <c:axId val="345133440"/>
      </c:lineChart>
      <c:catAx>
        <c:axId val="34512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133440"/>
        <c:crosses val="autoZero"/>
        <c:auto val="1"/>
        <c:lblAlgn val="ctr"/>
        <c:lblOffset val="100"/>
        <c:tickLblSkip val="1"/>
        <c:tickMarkSkip val="1"/>
        <c:noMultiLvlLbl val="0"/>
      </c:catAx>
      <c:valAx>
        <c:axId val="3451334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18-64 (£)</a:t>
                </a:r>
              </a:p>
            </c:rich>
          </c:tx>
          <c:layout>
            <c:manualLayout>
              <c:xMode val="edge"/>
              <c:yMode val="edge"/>
              <c:x val="9.2250922509225092E-3"/>
              <c:y val="0.201438848920863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123456"/>
        <c:crosses val="autoZero"/>
        <c:crossBetween val="between"/>
      </c:valAx>
      <c:spPr>
        <a:noFill/>
        <a:ln w="25400">
          <a:noFill/>
        </a:ln>
      </c:spPr>
    </c:plotArea>
    <c:legend>
      <c:legendPos val="r"/>
      <c:legendEntry>
        <c:idx val="0"/>
        <c:delete val="1"/>
      </c:legendEntry>
      <c:layout>
        <c:manualLayout>
          <c:xMode val="edge"/>
          <c:yMode val="edge"/>
          <c:x val="0.15313653136531366"/>
          <c:y val="0.88848920863309355"/>
          <c:w val="0.79151291512915134"/>
          <c:h val="8.9928057553956831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Children looked after at and away from home
(rate per 1,000 population aged 0-17)</a:t>
            </a:r>
          </a:p>
        </c:rich>
      </c:tx>
      <c:layout>
        <c:manualLayout>
          <c:xMode val="edge"/>
          <c:yMode val="edge"/>
          <c:x val="0.21915324864980551"/>
          <c:y val="3.1128404669260701E-2"/>
        </c:manualLayout>
      </c:layout>
      <c:overlay val="0"/>
      <c:spPr>
        <a:noFill/>
        <a:ln w="25400">
          <a:noFill/>
        </a:ln>
      </c:spPr>
    </c:title>
    <c:autoTitleDeleted val="0"/>
    <c:plotArea>
      <c:layout>
        <c:manualLayout>
          <c:layoutTarget val="inner"/>
          <c:xMode val="edge"/>
          <c:yMode val="edge"/>
          <c:x val="0.1049725644793186"/>
          <c:y val="0.22178988326848248"/>
          <c:w val="0.85083025946395074"/>
          <c:h val="0.57198443579766534"/>
        </c:manualLayout>
      </c:layout>
      <c:lineChart>
        <c:grouping val="standard"/>
        <c:varyColors val="0"/>
        <c:ser>
          <c:idx val="1"/>
          <c:order val="0"/>
          <c:tx>
            <c:strRef>
              <c:f>Scotland!$J$192</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Scotland!$L$190:$P$190</c:f>
              <c:numCache>
                <c:formatCode>General</c:formatCode>
                <c:ptCount val="5"/>
                <c:pt idx="0">
                  <c:v>2005</c:v>
                </c:pt>
                <c:pt idx="1">
                  <c:v>2006</c:v>
                </c:pt>
                <c:pt idx="2">
                  <c:v>2007</c:v>
                </c:pt>
                <c:pt idx="3">
                  <c:v>2008</c:v>
                </c:pt>
                <c:pt idx="4">
                  <c:v>2009</c:v>
                </c:pt>
              </c:numCache>
            </c:numRef>
          </c:cat>
          <c:val>
            <c:numRef>
              <c:f>Scotland!$L$192:$P$192</c:f>
              <c:numCache>
                <c:formatCode>0.0</c:formatCode>
                <c:ptCount val="5"/>
                <c:pt idx="0">
                  <c:v>13.967827215208604</c:v>
                </c:pt>
                <c:pt idx="1">
                  <c:v>14.479393091471398</c:v>
                </c:pt>
                <c:pt idx="2">
                  <c:v>15.072729662897844</c:v>
                </c:pt>
                <c:pt idx="3">
                  <c:v>15.478316000844062</c:v>
                </c:pt>
                <c:pt idx="4">
                  <c:v>15.443478194112036</c:v>
                </c:pt>
              </c:numCache>
            </c:numRef>
          </c:val>
          <c:smooth val="0"/>
        </c:ser>
        <c:ser>
          <c:idx val="2"/>
          <c:order val="1"/>
          <c:tx>
            <c:strRef>
              <c:f>Scotland!$K$193</c:f>
              <c:strCache>
                <c:ptCount val="1"/>
                <c:pt idx="0">
                  <c:v>Min</c:v>
                </c:pt>
              </c:strCache>
            </c:strRef>
          </c:tx>
          <c:spPr>
            <a:ln w="25400">
              <a:solidFill>
                <a:srgbClr val="000000"/>
              </a:solidFill>
              <a:prstDash val="sysDash"/>
            </a:ln>
          </c:spPr>
          <c:marker>
            <c:symbol val="none"/>
          </c:marker>
          <c:val>
            <c:numRef>
              <c:f>Scotland!$L$193:$P$193</c:f>
              <c:numCache>
                <c:formatCode>0.0</c:formatCode>
                <c:ptCount val="5"/>
                <c:pt idx="0">
                  <c:v>4.6183223056085971</c:v>
                </c:pt>
                <c:pt idx="1">
                  <c:v>5.7964502359020447</c:v>
                </c:pt>
                <c:pt idx="2">
                  <c:v>6.180186778978209</c:v>
                </c:pt>
                <c:pt idx="3">
                  <c:v>4.5500505561172906</c:v>
                </c:pt>
                <c:pt idx="4">
                  <c:v>6.0760486083888665</c:v>
                </c:pt>
              </c:numCache>
            </c:numRef>
          </c:val>
          <c:smooth val="0"/>
        </c:ser>
        <c:ser>
          <c:idx val="3"/>
          <c:order val="2"/>
          <c:tx>
            <c:strRef>
              <c:f>Scotland!$K$194</c:f>
              <c:strCache>
                <c:ptCount val="1"/>
                <c:pt idx="0">
                  <c:v>Max</c:v>
                </c:pt>
              </c:strCache>
            </c:strRef>
          </c:tx>
          <c:spPr>
            <a:ln w="25400">
              <a:solidFill>
                <a:srgbClr val="000000"/>
              </a:solidFill>
              <a:prstDash val="sysDash"/>
            </a:ln>
          </c:spPr>
          <c:marker>
            <c:symbol val="none"/>
          </c:marker>
          <c:val>
            <c:numRef>
              <c:f>Scotland!$L$194:$P$194</c:f>
              <c:numCache>
                <c:formatCode>0.0</c:formatCode>
                <c:ptCount val="5"/>
                <c:pt idx="0">
                  <c:v>26.805652240735551</c:v>
                </c:pt>
                <c:pt idx="1">
                  <c:v>28.847723932724932</c:v>
                </c:pt>
                <c:pt idx="2">
                  <c:v>31.26839917028234</c:v>
                </c:pt>
                <c:pt idx="3">
                  <c:v>33.970796556608917</c:v>
                </c:pt>
                <c:pt idx="4">
                  <c:v>33.682986908748717</c:v>
                </c:pt>
              </c:numCache>
            </c:numRef>
          </c:val>
          <c:smooth val="0"/>
        </c:ser>
        <c:dLbls>
          <c:showLegendKey val="0"/>
          <c:showVal val="0"/>
          <c:showCatName val="0"/>
          <c:showSerName val="0"/>
          <c:showPercent val="0"/>
          <c:showBubbleSize val="0"/>
        </c:dLbls>
        <c:marker val="1"/>
        <c:smooth val="0"/>
        <c:axId val="345168512"/>
        <c:axId val="345174400"/>
      </c:lineChart>
      <c:catAx>
        <c:axId val="345168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5174400"/>
        <c:crosses val="autoZero"/>
        <c:auto val="1"/>
        <c:lblAlgn val="ctr"/>
        <c:lblOffset val="100"/>
        <c:tickLblSkip val="1"/>
        <c:tickMarkSkip val="1"/>
        <c:noMultiLvlLbl val="0"/>
      </c:catAx>
      <c:valAx>
        <c:axId val="3451744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aged 0-17</a:t>
                </a:r>
              </a:p>
            </c:rich>
          </c:tx>
          <c:layout>
            <c:manualLayout>
              <c:xMode val="edge"/>
              <c:yMode val="edge"/>
              <c:x val="1.4732991505869278E-2"/>
              <c:y val="0.1984435797665369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168512"/>
        <c:crosses val="autoZero"/>
        <c:crossBetween val="between"/>
      </c:valAx>
      <c:spPr>
        <a:noFill/>
        <a:ln w="25400">
          <a:noFill/>
        </a:ln>
      </c:spPr>
    </c:plotArea>
    <c:legend>
      <c:legendPos val="r"/>
      <c:layout>
        <c:manualLayout>
          <c:xMode val="edge"/>
          <c:yMode val="edge"/>
          <c:x val="0.33149230888205872"/>
          <c:y val="0.89494163424124518"/>
          <c:w val="0.44751461699077927"/>
          <c:h val="8.949416342412451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Children aged 0-17 looked after away from home, 2009
(rate per 1,000 population aged 0-17)</a:t>
            </a:r>
          </a:p>
        </c:rich>
      </c:tx>
      <c:layout>
        <c:manualLayout>
          <c:xMode val="edge"/>
          <c:yMode val="edge"/>
          <c:x val="0.14525166079576349"/>
          <c:y val="3.6912812160516992E-2"/>
        </c:manualLayout>
      </c:layout>
      <c:overlay val="0"/>
      <c:spPr>
        <a:noFill/>
        <a:ln w="25400">
          <a:noFill/>
        </a:ln>
      </c:spPr>
    </c:title>
    <c:autoTitleDeleted val="0"/>
    <c:plotArea>
      <c:layout>
        <c:manualLayout>
          <c:layoutTarget val="inner"/>
          <c:xMode val="edge"/>
          <c:yMode val="edge"/>
          <c:x val="0.11545644832483765"/>
          <c:y val="0.17785264040976367"/>
          <c:w val="0.86219896087741665"/>
          <c:h val="0.54026934162211226"/>
        </c:manualLayout>
      </c:layout>
      <c:barChart>
        <c:barDir val="col"/>
        <c:grouping val="clustered"/>
        <c:varyColors val="0"/>
        <c:ser>
          <c:idx val="1"/>
          <c:order val="0"/>
          <c:tx>
            <c:strRef>
              <c:f>'Per Capita Data - C&amp;F'!$C$2</c:f>
              <c:strCache>
                <c:ptCount val="1"/>
                <c:pt idx="0">
                  <c:v>C&amp;F Spend per Capita</c:v>
                </c:pt>
              </c:strCache>
            </c:strRef>
          </c:tx>
          <c:spPr>
            <a:solidFill>
              <a:srgbClr val="0000FF"/>
            </a:solidFill>
            <a:ln w="12700">
              <a:solidFill>
                <a:srgbClr val="000000"/>
              </a:solidFill>
              <a:prstDash val="solid"/>
            </a:ln>
          </c:spPr>
          <c:invertIfNegative val="0"/>
          <c:cat>
            <c:strRef>
              <c:f>'Statistics - Children'!$A$140:$A$1722</c:f>
              <c:strCache>
                <c:ptCount val="125"/>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Inverclyde</c:v>
                </c:pt>
                <c:pt idx="13">
                  <c:v>Dumfries &amp; Galloway</c:v>
                </c:pt>
                <c:pt idx="14">
                  <c:v>Stirling</c:v>
                </c:pt>
                <c:pt idx="15">
                  <c:v>Moray</c:v>
                </c:pt>
                <c:pt idx="16">
                  <c:v>Scottish Borders</c:v>
                </c:pt>
                <c:pt idx="17">
                  <c:v>West Lothian</c:v>
                </c:pt>
                <c:pt idx="18">
                  <c:v>Falkirk</c:v>
                </c:pt>
                <c:pt idx="19">
                  <c:v>Argyll &amp; Bute</c:v>
                </c:pt>
                <c:pt idx="20">
                  <c:v>Perth &amp; Kinross</c:v>
                </c:pt>
                <c:pt idx="21">
                  <c:v>Angus</c:v>
                </c:pt>
                <c:pt idx="22">
                  <c:v>East Lothian</c:v>
                </c:pt>
                <c:pt idx="23">
                  <c:v>Highland</c:v>
                </c:pt>
                <c:pt idx="24">
                  <c:v>Orkney Islands</c:v>
                </c:pt>
                <c:pt idx="25">
                  <c:v>North Lanarkshire</c:v>
                </c:pt>
                <c:pt idx="26">
                  <c:v>South Lanarkshire</c:v>
                </c:pt>
                <c:pt idx="27">
                  <c:v>East Dunbartonshire</c:v>
                </c:pt>
                <c:pt idx="28">
                  <c:v>Eilean Siar</c:v>
                </c:pt>
                <c:pt idx="29">
                  <c:v>Aberdeenshire</c:v>
                </c:pt>
                <c:pt idx="30">
                  <c:v>Shetland Islands</c:v>
                </c:pt>
                <c:pt idx="31">
                  <c:v>East Renfrewshire</c:v>
                </c:pt>
                <c:pt idx="33">
                  <c:v>Aberdeen City</c:v>
                </c:pt>
                <c:pt idx="37">
                  <c:v>Children looked after away from home by placements, 2014, 0-17 years</c:v>
                </c:pt>
                <c:pt idx="41">
                  <c:v>Aberdeen City</c:v>
                </c:pt>
                <c:pt idx="42">
                  <c:v>Aberdeenshire</c:v>
                </c:pt>
                <c:pt idx="43">
                  <c:v>Angus</c:v>
                </c:pt>
                <c:pt idx="44">
                  <c:v>Argyll &amp; Bute</c:v>
                </c:pt>
                <c:pt idx="45">
                  <c:v>Clackmannanshire</c:v>
                </c:pt>
                <c:pt idx="46">
                  <c:v>Dumfries &amp; Galloway</c:v>
                </c:pt>
                <c:pt idx="47">
                  <c:v>Dundee City</c:v>
                </c:pt>
                <c:pt idx="48">
                  <c:v>East Ayrshire</c:v>
                </c:pt>
                <c:pt idx="49">
                  <c:v>East Dunbartonshire</c:v>
                </c:pt>
                <c:pt idx="50">
                  <c:v>East Lothian</c:v>
                </c:pt>
                <c:pt idx="51">
                  <c:v>East Renfrewshire</c:v>
                </c:pt>
                <c:pt idx="52">
                  <c:v>Edinburgh</c:v>
                </c:pt>
                <c:pt idx="53">
                  <c:v>Eilean Siar</c:v>
                </c:pt>
                <c:pt idx="54">
                  <c:v>Falkirk</c:v>
                </c:pt>
                <c:pt idx="55">
                  <c:v>Fife</c:v>
                </c:pt>
                <c:pt idx="56">
                  <c:v>Glasgow City</c:v>
                </c:pt>
                <c:pt idx="57">
                  <c:v>Highland</c:v>
                </c:pt>
                <c:pt idx="58">
                  <c:v>Inverclyde</c:v>
                </c:pt>
                <c:pt idx="59">
                  <c:v>Midlothian</c:v>
                </c:pt>
                <c:pt idx="60">
                  <c:v>Moray</c:v>
                </c:pt>
                <c:pt idx="61">
                  <c:v>North Ayrshire</c:v>
                </c:pt>
                <c:pt idx="62">
                  <c:v>North Lanarkshire</c:v>
                </c:pt>
                <c:pt idx="63">
                  <c:v>Orkney Islands</c:v>
                </c:pt>
                <c:pt idx="64">
                  <c:v>Perth &amp; Kinross</c:v>
                </c:pt>
                <c:pt idx="65">
                  <c:v>Renfrewshire</c:v>
                </c:pt>
                <c:pt idx="66">
                  <c:v>Scottish Borders</c:v>
                </c:pt>
                <c:pt idx="67">
                  <c:v>Shetland Islands</c:v>
                </c:pt>
                <c:pt idx="68">
                  <c:v>South Ayrshire</c:v>
                </c:pt>
                <c:pt idx="69">
                  <c:v>South Lanarkshire</c:v>
                </c:pt>
                <c:pt idx="70">
                  <c:v>Stirling</c:v>
                </c:pt>
                <c:pt idx="71">
                  <c:v>West Dunbartonshire</c:v>
                </c:pt>
                <c:pt idx="72">
                  <c:v>West Lothian</c:v>
                </c:pt>
                <c:pt idx="73">
                  <c:v>Scotland</c:v>
                </c:pt>
                <c:pt idx="76">
                  <c:v>Source:</c:v>
                </c:pt>
                <c:pt idx="78">
                  <c:v>http://www.scotland.gov.uk/Topics/Statistics/Browse/Children/PubChildrenSocialWork</c:v>
                </c:pt>
                <c:pt idx="85">
                  <c:v>Children looked after in residential placements (breakdown) - 0-17 years</c:v>
                </c:pt>
                <c:pt idx="88">
                  <c:v>Local Authority</c:v>
                </c:pt>
                <c:pt idx="89">
                  <c:v>Aberdeen City</c:v>
                </c:pt>
                <c:pt idx="90">
                  <c:v>Aberdeenshire</c:v>
                </c:pt>
                <c:pt idx="91">
                  <c:v>Angus</c:v>
                </c:pt>
                <c:pt idx="92">
                  <c:v>Argyll &amp; Bute</c:v>
                </c:pt>
                <c:pt idx="93">
                  <c:v>Clackmannanshire</c:v>
                </c:pt>
                <c:pt idx="94">
                  <c:v>Dumfries &amp; Galloway</c:v>
                </c:pt>
                <c:pt idx="95">
                  <c:v>Dundee City</c:v>
                </c:pt>
                <c:pt idx="96">
                  <c:v>East Ayrshire</c:v>
                </c:pt>
                <c:pt idx="97">
                  <c:v>East Dunbartonshire</c:v>
                </c:pt>
                <c:pt idx="98">
                  <c:v>East Lothian</c:v>
                </c:pt>
                <c:pt idx="99">
                  <c:v>East Renfrewshire</c:v>
                </c:pt>
                <c:pt idx="100">
                  <c:v>Edinburgh</c:v>
                </c:pt>
                <c:pt idx="101">
                  <c:v>Eilean Siar</c:v>
                </c:pt>
                <c:pt idx="102">
                  <c:v>Falkirk</c:v>
                </c:pt>
                <c:pt idx="103">
                  <c:v>Fife</c:v>
                </c:pt>
                <c:pt idx="104">
                  <c:v>Glasgow City</c:v>
                </c:pt>
                <c:pt idx="105">
                  <c:v>Highland</c:v>
                </c:pt>
                <c:pt idx="106">
                  <c:v>Inverclyde</c:v>
                </c:pt>
                <c:pt idx="107">
                  <c:v>Midlothian</c:v>
                </c:pt>
                <c:pt idx="108">
                  <c:v>Moray</c:v>
                </c:pt>
                <c:pt idx="109">
                  <c:v>North Ayrshire</c:v>
                </c:pt>
                <c:pt idx="110">
                  <c:v>North Lanarkshire</c:v>
                </c:pt>
                <c:pt idx="111">
                  <c:v>Orkney Islands</c:v>
                </c:pt>
                <c:pt idx="112">
                  <c:v>Perth &amp; Kinross</c:v>
                </c:pt>
                <c:pt idx="113">
                  <c:v>Renfrewshire</c:v>
                </c:pt>
                <c:pt idx="114">
                  <c:v>Scottish Borders</c:v>
                </c:pt>
                <c:pt idx="115">
                  <c:v>Shetland Islands</c:v>
                </c:pt>
                <c:pt idx="116">
                  <c:v>South Ayrshire</c:v>
                </c:pt>
                <c:pt idx="117">
                  <c:v>South Lanarkshire</c:v>
                </c:pt>
                <c:pt idx="118">
                  <c:v>Stirling</c:v>
                </c:pt>
                <c:pt idx="119">
                  <c:v>West Dunbartonshire</c:v>
                </c:pt>
                <c:pt idx="120">
                  <c:v>West Lothian</c:v>
                </c:pt>
                <c:pt idx="121">
                  <c:v>Scotland</c:v>
                </c:pt>
                <c:pt idx="123">
                  <c:v>Source:</c:v>
                </c:pt>
                <c:pt idx="124">
                  <c:v>http://www.scotland.gov.uk/Topics/Statistics/Browse/Children/PubChildrenSocialWork</c:v>
                </c:pt>
              </c:strCache>
            </c:strRef>
          </c:cat>
          <c:val>
            <c:numRef>
              <c:f>'Statistics - Children'!$B$140:$B$171</c:f>
              <c:numCache>
                <c:formatCode>0.0</c:formatCode>
                <c:ptCount val="32"/>
                <c:pt idx="0">
                  <c:v>24.467715065082476</c:v>
                </c:pt>
                <c:pt idx="1">
                  <c:v>16.538362370621385</c:v>
                </c:pt>
                <c:pt idx="2">
                  <c:v>15.594212689297979</c:v>
                </c:pt>
                <c:pt idx="3">
                  <c:v>14.993456720882408</c:v>
                </c:pt>
                <c:pt idx="4">
                  <c:v>14.196762141967621</c:v>
                </c:pt>
                <c:pt idx="5">
                  <c:v>13.684006211180124</c:v>
                </c:pt>
                <c:pt idx="6">
                  <c:v>13.4968605128807</c:v>
                </c:pt>
                <c:pt idx="7">
                  <c:v>12.604197457877625</c:v>
                </c:pt>
                <c:pt idx="8">
                  <c:v>11.886127959303463</c:v>
                </c:pt>
                <c:pt idx="9">
                  <c:v>11.564597720161546</c:v>
                </c:pt>
                <c:pt idx="10">
                  <c:v>11.402508551881414</c:v>
                </c:pt>
                <c:pt idx="11">
                  <c:v>11.252992817238628</c:v>
                </c:pt>
                <c:pt idx="12">
                  <c:v>8.6770791616606591</c:v>
                </c:pt>
                <c:pt idx="13">
                  <c:v>8.6702030364002187</c:v>
                </c:pt>
                <c:pt idx="14">
                  <c:v>8.4280565566953154</c:v>
                </c:pt>
                <c:pt idx="15">
                  <c:v>8.3477713025673328</c:v>
                </c:pt>
                <c:pt idx="16">
                  <c:v>7.8958304474303924</c:v>
                </c:pt>
                <c:pt idx="17">
                  <c:v>7.7466393255866945</c:v>
                </c:pt>
                <c:pt idx="18">
                  <c:v>7.673275079081713</c:v>
                </c:pt>
                <c:pt idx="19">
                  <c:v>7.5519999999999996</c:v>
                </c:pt>
                <c:pt idx="20">
                  <c:v>7.4931638197379167</c:v>
                </c:pt>
                <c:pt idx="21">
                  <c:v>7.4630180800497534</c:v>
                </c:pt>
                <c:pt idx="22">
                  <c:v>6.8612246816109774</c:v>
                </c:pt>
                <c:pt idx="23">
                  <c:v>6.7276404889631518</c:v>
                </c:pt>
                <c:pt idx="24">
                  <c:v>6.482174021441037</c:v>
                </c:pt>
                <c:pt idx="25">
                  <c:v>5.983617936970707</c:v>
                </c:pt>
                <c:pt idx="26">
                  <c:v>5.8194678884334055</c:v>
                </c:pt>
                <c:pt idx="27">
                  <c:v>5.7965505772794224</c:v>
                </c:pt>
                <c:pt idx="28">
                  <c:v>5.7596822244289978</c:v>
                </c:pt>
                <c:pt idx="29">
                  <c:v>5.4979177321545984</c:v>
                </c:pt>
                <c:pt idx="30">
                  <c:v>4.7169811320754711</c:v>
                </c:pt>
                <c:pt idx="31">
                  <c:v>3.4244923551825592</c:v>
                </c:pt>
              </c:numCache>
            </c:numRef>
          </c:val>
        </c:ser>
        <c:dLbls>
          <c:showLegendKey val="0"/>
          <c:showVal val="0"/>
          <c:showCatName val="0"/>
          <c:showSerName val="0"/>
          <c:showPercent val="0"/>
          <c:showBubbleSize val="0"/>
        </c:dLbls>
        <c:gapWidth val="150"/>
        <c:overlap val="100"/>
        <c:axId val="344624128"/>
        <c:axId val="344630016"/>
      </c:barChart>
      <c:lineChart>
        <c:grouping val="standard"/>
        <c:varyColors val="0"/>
        <c:ser>
          <c:idx val="2"/>
          <c:order val="1"/>
          <c:tx>
            <c:strRef>
              <c:f>'Per Capita Data - C&amp;F'!$E$2</c:f>
              <c:strCache>
                <c:ptCount val="1"/>
                <c:pt idx="0">
                  <c:v>Average Spend per Capita</c:v>
                </c:pt>
              </c:strCache>
            </c:strRef>
          </c:tx>
          <c:spPr>
            <a:ln w="25400">
              <a:solidFill>
                <a:srgbClr val="000000"/>
              </a:solidFill>
              <a:prstDash val="solid"/>
            </a:ln>
          </c:spPr>
          <c:marker>
            <c:symbol val="none"/>
          </c:marker>
          <c:cat>
            <c:strRef>
              <c:f>'Statistics - Children'!$A$140:$A$171</c:f>
              <c:strCache>
                <c:ptCount val="32"/>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Inverclyde</c:v>
                </c:pt>
                <c:pt idx="13">
                  <c:v>Dumfries &amp; Galloway</c:v>
                </c:pt>
                <c:pt idx="14">
                  <c:v>Stirling</c:v>
                </c:pt>
                <c:pt idx="15">
                  <c:v>Moray</c:v>
                </c:pt>
                <c:pt idx="16">
                  <c:v>Scottish Borders</c:v>
                </c:pt>
                <c:pt idx="17">
                  <c:v>West Lothian</c:v>
                </c:pt>
                <c:pt idx="18">
                  <c:v>Falkirk</c:v>
                </c:pt>
                <c:pt idx="19">
                  <c:v>Argyll &amp; Bute</c:v>
                </c:pt>
                <c:pt idx="20">
                  <c:v>Perth &amp; Kinross</c:v>
                </c:pt>
                <c:pt idx="21">
                  <c:v>Angus</c:v>
                </c:pt>
                <c:pt idx="22">
                  <c:v>East Lothian</c:v>
                </c:pt>
                <c:pt idx="23">
                  <c:v>Highland</c:v>
                </c:pt>
                <c:pt idx="24">
                  <c:v>Orkney Islands</c:v>
                </c:pt>
                <c:pt idx="25">
                  <c:v>North Lanarkshire</c:v>
                </c:pt>
                <c:pt idx="26">
                  <c:v>South Lanarkshire</c:v>
                </c:pt>
                <c:pt idx="27">
                  <c:v>East Dunbartonshire</c:v>
                </c:pt>
                <c:pt idx="28">
                  <c:v>Eilean Siar</c:v>
                </c:pt>
                <c:pt idx="29">
                  <c:v>Aberdeenshire</c:v>
                </c:pt>
                <c:pt idx="30">
                  <c:v>Shetland Islands</c:v>
                </c:pt>
                <c:pt idx="31">
                  <c:v>East Renfrewshire</c:v>
                </c:pt>
              </c:strCache>
            </c:strRef>
          </c:cat>
          <c:val>
            <c:numRef>
              <c:f>'Statistics - Children'!$D$140:$D$171</c:f>
              <c:numCache>
                <c:formatCode>0.0</c:formatCode>
                <c:ptCount val="32"/>
                <c:pt idx="0">
                  <c:v>10.877066308679101</c:v>
                </c:pt>
                <c:pt idx="1">
                  <c:v>10.877066308679101</c:v>
                </c:pt>
                <c:pt idx="2">
                  <c:v>10.877066308679101</c:v>
                </c:pt>
                <c:pt idx="3">
                  <c:v>10.877066308679101</c:v>
                </c:pt>
                <c:pt idx="4">
                  <c:v>10.877066308679101</c:v>
                </c:pt>
                <c:pt idx="5">
                  <c:v>10.877066308679101</c:v>
                </c:pt>
                <c:pt idx="6">
                  <c:v>10.877066308679101</c:v>
                </c:pt>
                <c:pt idx="7">
                  <c:v>10.877066308679101</c:v>
                </c:pt>
                <c:pt idx="8">
                  <c:v>10.877066308679101</c:v>
                </c:pt>
                <c:pt idx="9">
                  <c:v>10.877066308679101</c:v>
                </c:pt>
                <c:pt idx="10">
                  <c:v>10.877066308679101</c:v>
                </c:pt>
                <c:pt idx="11">
                  <c:v>10.877066308679101</c:v>
                </c:pt>
                <c:pt idx="12">
                  <c:v>10.877066308679101</c:v>
                </c:pt>
                <c:pt idx="13">
                  <c:v>10.877066308679101</c:v>
                </c:pt>
                <c:pt idx="14">
                  <c:v>10.877066308679101</c:v>
                </c:pt>
                <c:pt idx="15">
                  <c:v>10.877066308679101</c:v>
                </c:pt>
                <c:pt idx="16">
                  <c:v>10.877066308679101</c:v>
                </c:pt>
                <c:pt idx="17">
                  <c:v>10.877066308679101</c:v>
                </c:pt>
                <c:pt idx="18">
                  <c:v>10.877066308679101</c:v>
                </c:pt>
                <c:pt idx="19">
                  <c:v>10.877066308679101</c:v>
                </c:pt>
                <c:pt idx="20">
                  <c:v>10.877066308679101</c:v>
                </c:pt>
                <c:pt idx="21">
                  <c:v>10.877066308679101</c:v>
                </c:pt>
                <c:pt idx="22">
                  <c:v>10.877066308679101</c:v>
                </c:pt>
                <c:pt idx="23">
                  <c:v>10.877066308679101</c:v>
                </c:pt>
                <c:pt idx="24">
                  <c:v>10.877066308679101</c:v>
                </c:pt>
                <c:pt idx="25">
                  <c:v>10.877066308679101</c:v>
                </c:pt>
                <c:pt idx="26">
                  <c:v>10.877066308679101</c:v>
                </c:pt>
                <c:pt idx="27">
                  <c:v>10.877066308679101</c:v>
                </c:pt>
                <c:pt idx="28">
                  <c:v>10.877066308679101</c:v>
                </c:pt>
                <c:pt idx="29">
                  <c:v>10.877066308679101</c:v>
                </c:pt>
                <c:pt idx="30">
                  <c:v>10.877066308679101</c:v>
                </c:pt>
                <c:pt idx="31">
                  <c:v>10.877066308679101</c:v>
                </c:pt>
              </c:numCache>
            </c:numRef>
          </c:val>
          <c:smooth val="0"/>
        </c:ser>
        <c:dLbls>
          <c:showLegendKey val="0"/>
          <c:showVal val="0"/>
          <c:showCatName val="0"/>
          <c:showSerName val="0"/>
          <c:showPercent val="0"/>
          <c:showBubbleSize val="0"/>
        </c:dLbls>
        <c:marker val="1"/>
        <c:smooth val="0"/>
        <c:axId val="344631936"/>
        <c:axId val="344633728"/>
      </c:lineChart>
      <c:catAx>
        <c:axId val="3446241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4630016"/>
        <c:crosses val="autoZero"/>
        <c:auto val="0"/>
        <c:lblAlgn val="ctr"/>
        <c:lblOffset val="100"/>
        <c:tickLblSkip val="1"/>
        <c:tickMarkSkip val="1"/>
        <c:noMultiLvlLbl val="0"/>
      </c:catAx>
      <c:valAx>
        <c:axId val="3446300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0-17</a:t>
                </a:r>
              </a:p>
            </c:rich>
          </c:tx>
          <c:layout>
            <c:manualLayout>
              <c:xMode val="edge"/>
              <c:yMode val="edge"/>
              <c:x val="9.3110038971643272E-3"/>
              <c:y val="8.389275491026589E-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624128"/>
        <c:crosses val="autoZero"/>
        <c:crossBetween val="between"/>
      </c:valAx>
      <c:catAx>
        <c:axId val="344631936"/>
        <c:scaling>
          <c:orientation val="minMax"/>
        </c:scaling>
        <c:delete val="1"/>
        <c:axPos val="b"/>
        <c:majorTickMark val="out"/>
        <c:minorTickMark val="none"/>
        <c:tickLblPos val="nextTo"/>
        <c:crossAx val="344633728"/>
        <c:crosses val="autoZero"/>
        <c:auto val="0"/>
        <c:lblAlgn val="ctr"/>
        <c:lblOffset val="100"/>
        <c:noMultiLvlLbl val="0"/>
      </c:catAx>
      <c:valAx>
        <c:axId val="344633728"/>
        <c:scaling>
          <c:orientation val="minMax"/>
        </c:scaling>
        <c:delete val="1"/>
        <c:axPos val="l"/>
        <c:numFmt formatCode="0.0" sourceLinked="1"/>
        <c:majorTickMark val="out"/>
        <c:minorTickMark val="none"/>
        <c:tickLblPos val="nextTo"/>
        <c:crossAx val="34463193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Gross social work expenditure by service area (£'000), 2014/15</a:t>
            </a:r>
          </a:p>
        </c:rich>
      </c:tx>
      <c:layout>
        <c:manualLayout>
          <c:xMode val="edge"/>
          <c:yMode val="edge"/>
          <c:x val="0.15297699051048239"/>
          <c:y val="2.3369323792310118E-2"/>
        </c:manualLayout>
      </c:layout>
      <c:overlay val="0"/>
      <c:spPr>
        <a:noFill/>
        <a:ln w="25400">
          <a:noFill/>
        </a:ln>
      </c:spPr>
    </c:title>
    <c:autoTitleDeleted val="0"/>
    <c:plotArea>
      <c:layout>
        <c:manualLayout>
          <c:layoutTarget val="inner"/>
          <c:xMode val="edge"/>
          <c:yMode val="edge"/>
          <c:x val="0.25136629232821306"/>
          <c:y val="0.1266435243981599"/>
          <c:w val="0.38852527860246977"/>
          <c:h val="0.8494638707795934"/>
        </c:manualLayout>
      </c:layout>
      <c:pieChart>
        <c:varyColors val="1"/>
        <c:ser>
          <c:idx val="0"/>
          <c:order val="0"/>
          <c:tx>
            <c:strRef>
              <c:f>Cover!$M$115:$N$115</c:f>
              <c:strCache>
                <c:ptCount val="1"/>
                <c:pt idx="0">
                  <c:v>2014/15</c:v>
                </c:pt>
              </c:strCache>
            </c:strRef>
          </c:tx>
          <c:spPr>
            <a:solidFill>
              <a:srgbClr val="9999FF"/>
            </a:solidFill>
            <a:ln w="12700">
              <a:solidFill>
                <a:srgbClr val="000000"/>
              </a:solidFill>
              <a:prstDash val="solid"/>
            </a:ln>
          </c:spPr>
          <c:explosion val="1"/>
          <c:dPt>
            <c:idx val="0"/>
            <c:bubble3D val="0"/>
            <c:spPr>
              <a:solidFill>
                <a:srgbClr val="0000FF"/>
              </a:solidFill>
              <a:ln w="12700">
                <a:solidFill>
                  <a:srgbClr val="000000"/>
                </a:solidFill>
                <a:prstDash val="solid"/>
              </a:ln>
            </c:spPr>
          </c:dPt>
          <c:dPt>
            <c:idx val="1"/>
            <c:bubble3D val="0"/>
            <c:spPr>
              <a:solidFill>
                <a:srgbClr val="FF0000"/>
              </a:solidFill>
              <a:ln w="12700">
                <a:solidFill>
                  <a:srgbClr val="000000"/>
                </a:solidFill>
                <a:prstDash val="solid"/>
              </a:ln>
            </c:spPr>
          </c:dPt>
          <c:dPt>
            <c:idx val="2"/>
            <c:bubble3D val="0"/>
            <c:spPr>
              <a:solidFill>
                <a:srgbClr val="008000"/>
              </a:solidFill>
              <a:ln w="12700">
                <a:solidFill>
                  <a:srgbClr val="000000"/>
                </a:solidFill>
                <a:prstDash val="solid"/>
              </a:ln>
            </c:spPr>
          </c:dPt>
          <c:dPt>
            <c:idx val="3"/>
            <c:bubble3D val="0"/>
            <c:spPr>
              <a:solidFill>
                <a:srgbClr val="99CCFF"/>
              </a:solidFill>
              <a:ln w="12700">
                <a:solidFill>
                  <a:srgbClr val="000000"/>
                </a:solidFill>
                <a:prstDash val="solid"/>
              </a:ln>
            </c:spPr>
          </c:dPt>
          <c:dPt>
            <c:idx val="4"/>
            <c:bubble3D val="0"/>
            <c:spPr>
              <a:solidFill>
                <a:srgbClr val="660066"/>
              </a:solidFill>
              <a:ln w="12700">
                <a:solidFill>
                  <a:srgbClr val="000000"/>
                </a:solidFill>
                <a:prstDash val="solid"/>
              </a:ln>
            </c:spPr>
          </c:dPt>
          <c:dLbls>
            <c:dLbl>
              <c:idx val="4"/>
              <c:layout>
                <c:manualLayout>
                  <c:x val="3.0056125274899393E-3"/>
                  <c:y val="-5.2909176628541587E-3"/>
                </c:manualLayout>
              </c:layout>
              <c:dLblPos val="bestFit"/>
              <c:showLegendKey val="0"/>
              <c:showVal val="1"/>
              <c:showCatName val="0"/>
              <c:showSerName val="0"/>
              <c:showPercent val="1"/>
              <c:showBubbleSize val="0"/>
            </c:dLbl>
            <c:txPr>
              <a:bodyPr/>
              <a:lstStyle/>
              <a:p>
                <a:pPr>
                  <a:defRPr b="1" baseline="0">
                    <a:solidFill>
                      <a:sysClr val="windowText" lastClr="000000"/>
                    </a:solidFill>
                  </a:defRPr>
                </a:pPr>
                <a:endParaRPr lang="en-US"/>
              </a:p>
            </c:txPr>
            <c:dLblPos val="bestFit"/>
            <c:showLegendKey val="0"/>
            <c:showVal val="1"/>
            <c:showCatName val="0"/>
            <c:showSerName val="0"/>
            <c:showPercent val="1"/>
            <c:showBubbleSize val="0"/>
            <c:showLeaderLines val="1"/>
          </c:dLbls>
          <c:cat>
            <c:strRef>
              <c:f>Cover!$O$113:$S$113</c:f>
              <c:strCache>
                <c:ptCount val="5"/>
                <c:pt idx="0">
                  <c:v>Children &amp; Families</c:v>
                </c:pt>
                <c:pt idx="1">
                  <c:v>Older People</c:v>
                </c:pt>
                <c:pt idx="2">
                  <c:v>Learning Disability</c:v>
                </c:pt>
                <c:pt idx="3">
                  <c:v>Other Adult Groups</c:v>
                </c:pt>
                <c:pt idx="4">
                  <c:v>Miscellaneous</c:v>
                </c:pt>
              </c:strCache>
            </c:strRef>
          </c:cat>
          <c:val>
            <c:numRef>
              <c:f>Cover!$O$115:$S$115</c:f>
              <c:numCache>
                <c:formatCode>#,##0</c:formatCode>
                <c:ptCount val="5"/>
                <c:pt idx="0">
                  <c:v>37343.611799999999</c:v>
                </c:pt>
                <c:pt idx="1">
                  <c:v>67728.504750000007</c:v>
                </c:pt>
                <c:pt idx="2">
                  <c:v>30420.618300000002</c:v>
                </c:pt>
                <c:pt idx="3">
                  <c:v>16644.150900000001</c:v>
                </c:pt>
                <c:pt idx="4">
                  <c:v>952.03230000000008</c:v>
                </c:pt>
              </c:numCache>
            </c:numRef>
          </c:val>
        </c:ser>
        <c:ser>
          <c:idx val="1"/>
          <c:order val="1"/>
          <c:tx>
            <c:strRef>
              <c:f>Cover!$M$115:$N$115</c:f>
              <c:strCache>
                <c:ptCount val="1"/>
                <c:pt idx="0">
                  <c:v>2014/15</c:v>
                </c:pt>
              </c:strCache>
            </c:strRef>
          </c:tx>
          <c:dLbls>
            <c:showLegendKey val="0"/>
            <c:showVal val="1"/>
            <c:showCatName val="0"/>
            <c:showSerName val="0"/>
            <c:showPercent val="0"/>
            <c:showBubbleSize val="0"/>
            <c:showLeaderLines val="1"/>
          </c:dLbls>
          <c:cat>
            <c:strRef>
              <c:f>Cover!$O$113:$S$113</c:f>
              <c:strCache>
                <c:ptCount val="5"/>
                <c:pt idx="0">
                  <c:v>Children &amp; Families</c:v>
                </c:pt>
                <c:pt idx="1">
                  <c:v>Older People</c:v>
                </c:pt>
                <c:pt idx="2">
                  <c:v>Learning Disability</c:v>
                </c:pt>
                <c:pt idx="3">
                  <c:v>Other Adult Groups</c:v>
                </c:pt>
                <c:pt idx="4">
                  <c:v>Miscellaneous</c:v>
                </c:pt>
              </c:strCache>
            </c:strRef>
          </c:cat>
          <c:val>
            <c:numRef>
              <c:f>Cover!$O$115:$S$115</c:f>
              <c:numCache>
                <c:formatCode>#,##0</c:formatCode>
                <c:ptCount val="5"/>
                <c:pt idx="0">
                  <c:v>37343.611799999999</c:v>
                </c:pt>
                <c:pt idx="1">
                  <c:v>67728.504750000007</c:v>
                </c:pt>
                <c:pt idx="2">
                  <c:v>30420.618300000002</c:v>
                </c:pt>
                <c:pt idx="3">
                  <c:v>16644.150900000001</c:v>
                </c:pt>
                <c:pt idx="4">
                  <c:v>952.03230000000008</c:v>
                </c:pt>
              </c:numCache>
            </c:numRef>
          </c:val>
        </c:ser>
        <c:dLbls>
          <c:showLegendKey val="0"/>
          <c:showVal val="1"/>
          <c:showCatName val="0"/>
          <c:showSerName val="0"/>
          <c:showPercent val="0"/>
          <c:showBubbleSize val="0"/>
          <c:showLeaderLines val="1"/>
        </c:dLbls>
        <c:firstSliceAng val="52"/>
      </c:pieChart>
    </c:plotArea>
    <c:legend>
      <c:legendPos val="r"/>
      <c:layout>
        <c:manualLayout>
          <c:xMode val="edge"/>
          <c:yMode val="edge"/>
          <c:x val="0.75082018846004905"/>
          <c:y val="0.18040658896132605"/>
          <c:w val="0.1911385341712169"/>
          <c:h val="0.39437873121762873"/>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Children aged 0-17 looked after away from home by placement type, 2009
(rate per 1,000 population aged 0-17)</a:t>
            </a:r>
          </a:p>
        </c:rich>
      </c:tx>
      <c:layout>
        <c:manualLayout>
          <c:xMode val="edge"/>
          <c:yMode val="edge"/>
          <c:x val="0.17122070529639347"/>
          <c:y val="1.0706638115631691E-2"/>
        </c:manualLayout>
      </c:layout>
      <c:overlay val="0"/>
      <c:spPr>
        <a:noFill/>
        <a:ln w="25400">
          <a:noFill/>
        </a:ln>
      </c:spPr>
    </c:title>
    <c:autoTitleDeleted val="0"/>
    <c:plotArea>
      <c:layout>
        <c:manualLayout>
          <c:layoutTarget val="inner"/>
          <c:xMode val="edge"/>
          <c:yMode val="edge"/>
          <c:x val="0.11475430248588073"/>
          <c:y val="0.2569593147751606"/>
          <c:w val="0.86521101080624363"/>
          <c:h val="0.5224839400428265"/>
        </c:manualLayout>
      </c:layout>
      <c:barChart>
        <c:barDir val="col"/>
        <c:grouping val="stacked"/>
        <c:varyColors val="0"/>
        <c:ser>
          <c:idx val="0"/>
          <c:order val="0"/>
          <c:tx>
            <c:strRef>
              <c:f>'Statistics - Children'!$S$180</c:f>
              <c:strCache>
                <c:ptCount val="1"/>
                <c:pt idx="0">
                  <c:v>Residential placements</c:v>
                </c:pt>
              </c:strCache>
            </c:strRef>
          </c:tx>
          <c:spPr>
            <a:solidFill>
              <a:srgbClr val="0000FF"/>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Children'!$S$181:$S$213</c:f>
              <c:numCache>
                <c:formatCode>0.0</c:formatCode>
                <c:ptCount val="33"/>
                <c:pt idx="0">
                  <c:v>2.1968767735203119</c:v>
                </c:pt>
                <c:pt idx="1">
                  <c:v>1.7311871523813032</c:v>
                </c:pt>
                <c:pt idx="2">
                  <c:v>2.3644654619152172</c:v>
                </c:pt>
                <c:pt idx="3">
                  <c:v>1.9816788184707423</c:v>
                </c:pt>
                <c:pt idx="4">
                  <c:v>1.2453300124533002</c:v>
                </c:pt>
                <c:pt idx="5">
                  <c:v>1.843944099378882</c:v>
                </c:pt>
                <c:pt idx="6">
                  <c:v>1.4377090546329441</c:v>
                </c:pt>
                <c:pt idx="7">
                  <c:v>1.1114395506946497</c:v>
                </c:pt>
                <c:pt idx="8">
                  <c:v>1.3206808843670514</c:v>
                </c:pt>
                <c:pt idx="9">
                  <c:v>1.8745951012419193</c:v>
                </c:pt>
                <c:pt idx="10">
                  <c:v>1.6289297931259161</c:v>
                </c:pt>
                <c:pt idx="11">
                  <c:v>1.5961691939345573</c:v>
                </c:pt>
                <c:pt idx="12">
                  <c:v>1.4043978656249669</c:v>
                </c:pt>
                <c:pt idx="13">
                  <c:v>1.735415832332132</c:v>
                </c:pt>
                <c:pt idx="14">
                  <c:v>1.1340771904152185</c:v>
                </c:pt>
                <c:pt idx="15">
                  <c:v>1.8297754366509567</c:v>
                </c:pt>
                <c:pt idx="16">
                  <c:v>1.5225494828581929</c:v>
                </c:pt>
                <c:pt idx="17">
                  <c:v>1.569931200073879</c:v>
                </c:pt>
                <c:pt idx="18">
                  <c:v>1.1392116655274549</c:v>
                </c:pt>
                <c:pt idx="19">
                  <c:v>1.8478499170033513</c:v>
                </c:pt>
                <c:pt idx="20">
                  <c:v>1.4079999999999999</c:v>
                </c:pt>
                <c:pt idx="21">
                  <c:v>0.7102524947618879</c:v>
                </c:pt>
                <c:pt idx="22">
                  <c:v>0.62191817333747945</c:v>
                </c:pt>
                <c:pt idx="23">
                  <c:v>0.89289910240142867</c:v>
                </c:pt>
                <c:pt idx="24">
                  <c:v>1.6929029988567408</c:v>
                </c:pt>
                <c:pt idx="25">
                  <c:v>3.2410870107205185</c:v>
                </c:pt>
                <c:pt idx="26">
                  <c:v>0.5414410662224074</c:v>
                </c:pt>
                <c:pt idx="27">
                  <c:v>1.1092355919942127</c:v>
                </c:pt>
                <c:pt idx="28">
                  <c:v>0.99776690264645795</c:v>
                </c:pt>
                <c:pt idx="29">
                  <c:v>1.9860973187686195</c:v>
                </c:pt>
                <c:pt idx="30">
                  <c:v>0.94980638562139252</c:v>
                </c:pt>
                <c:pt idx="31">
                  <c:v>0.82034454470877771</c:v>
                </c:pt>
                <c:pt idx="32">
                  <c:v>0.33762600684898469</c:v>
                </c:pt>
              </c:numCache>
            </c:numRef>
          </c:val>
        </c:ser>
        <c:ser>
          <c:idx val="1"/>
          <c:order val="1"/>
          <c:tx>
            <c:strRef>
              <c:f>'Statistics - Children'!$T$180</c:f>
              <c:strCache>
                <c:ptCount val="1"/>
                <c:pt idx="0">
                  <c:v>Directly provided foster care</c:v>
                </c:pt>
              </c:strCache>
            </c:strRef>
          </c:tx>
          <c:spPr>
            <a:solidFill>
              <a:srgbClr val="FF0000"/>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Children'!$T$181:$T$213</c:f>
              <c:numCache>
                <c:formatCode>0.0</c:formatCode>
                <c:ptCount val="33"/>
                <c:pt idx="0">
                  <c:v>7.0849275946030064</c:v>
                </c:pt>
                <c:pt idx="1">
                  <c:v>6.5932446867287924</c:v>
                </c:pt>
                <c:pt idx="2">
                  <c:v>3.040027022462422</c:v>
                </c:pt>
                <c:pt idx="3">
                  <c:v>4.8607216302112546</c:v>
                </c:pt>
                <c:pt idx="4">
                  <c:v>4.2756330427563309</c:v>
                </c:pt>
                <c:pt idx="5">
                  <c:v>3.1055900621118009</c:v>
                </c:pt>
                <c:pt idx="6">
                  <c:v>3.667625139369755</c:v>
                </c:pt>
                <c:pt idx="7">
                  <c:v>4.3156961276973105</c:v>
                </c:pt>
                <c:pt idx="8">
                  <c:v>4.6468401486988853</c:v>
                </c:pt>
                <c:pt idx="9">
                  <c:v>3.8181091400294971</c:v>
                </c:pt>
                <c:pt idx="10">
                  <c:v>3.6379432046478795</c:v>
                </c:pt>
                <c:pt idx="11">
                  <c:v>2.9529130087789306</c:v>
                </c:pt>
                <c:pt idx="12">
                  <c:v>3.6866653826088895</c:v>
                </c:pt>
                <c:pt idx="13">
                  <c:v>2.7366172740622079</c:v>
                </c:pt>
                <c:pt idx="14">
                  <c:v>3.6948966526431315</c:v>
                </c:pt>
                <c:pt idx="15">
                  <c:v>2.7723870252287219</c:v>
                </c:pt>
                <c:pt idx="16">
                  <c:v>3.570116028770935</c:v>
                </c:pt>
                <c:pt idx="17">
                  <c:v>3.0936879530867616</c:v>
                </c:pt>
                <c:pt idx="18">
                  <c:v>3.493582440950862</c:v>
                </c:pt>
                <c:pt idx="19">
                  <c:v>3.2885464624635912</c:v>
                </c:pt>
                <c:pt idx="20">
                  <c:v>3.2639999999999998</c:v>
                </c:pt>
                <c:pt idx="21">
                  <c:v>2.8054973543094568</c:v>
                </c:pt>
                <c:pt idx="22">
                  <c:v>4.3534272133623562</c:v>
                </c:pt>
                <c:pt idx="23">
                  <c:v>3.6185910992057897</c:v>
                </c:pt>
                <c:pt idx="24">
                  <c:v>2.858147920147744</c:v>
                </c:pt>
                <c:pt idx="25">
                  <c:v>1.9945150835203191</c:v>
                </c:pt>
                <c:pt idx="26">
                  <c:v>1.735388032764126</c:v>
                </c:pt>
                <c:pt idx="27">
                  <c:v>2.5078369905956115</c:v>
                </c:pt>
                <c:pt idx="28">
                  <c:v>0.7126906447474699</c:v>
                </c:pt>
                <c:pt idx="29">
                  <c:v>2.1847070506454815</c:v>
                </c:pt>
                <c:pt idx="30">
                  <c:v>2.5937020530430335</c:v>
                </c:pt>
                <c:pt idx="31">
                  <c:v>1.8457752255947497</c:v>
                </c:pt>
                <c:pt idx="32">
                  <c:v>1.2540394540105146</c:v>
                </c:pt>
              </c:numCache>
            </c:numRef>
          </c:val>
        </c:ser>
        <c:ser>
          <c:idx val="2"/>
          <c:order val="2"/>
          <c:tx>
            <c:strRef>
              <c:f>'Statistics - Children'!$U$180</c:f>
              <c:strCache>
                <c:ptCount val="1"/>
                <c:pt idx="0">
                  <c:v>Purchased foster care</c:v>
                </c:pt>
              </c:strCache>
            </c:strRef>
          </c:tx>
          <c:spPr>
            <a:solidFill>
              <a:srgbClr val="008000"/>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Children'!$U$181:$U$213</c:f>
              <c:numCache>
                <c:formatCode>0.0</c:formatCode>
                <c:ptCount val="33"/>
                <c:pt idx="0">
                  <c:v>2.9383226845834174</c:v>
                </c:pt>
                <c:pt idx="1">
                  <c:v>2.3205274595749383</c:v>
                </c:pt>
                <c:pt idx="2">
                  <c:v>1.3511231210944097</c:v>
                </c:pt>
                <c:pt idx="3">
                  <c:v>1.2338754907459339</c:v>
                </c:pt>
                <c:pt idx="4">
                  <c:v>1.6604400166044002</c:v>
                </c:pt>
                <c:pt idx="5">
                  <c:v>5.1436335403726714</c:v>
                </c:pt>
                <c:pt idx="6">
                  <c:v>2.6993721025761399</c:v>
                </c:pt>
                <c:pt idx="7">
                  <c:v>2.9204847768253028</c:v>
                </c:pt>
                <c:pt idx="8">
                  <c:v>2.0543924867931911</c:v>
                </c:pt>
                <c:pt idx="9">
                  <c:v>3.1978387021185681</c:v>
                </c:pt>
                <c:pt idx="10">
                  <c:v>1.6832274528967803</c:v>
                </c:pt>
                <c:pt idx="11">
                  <c:v>3.5647778664538441</c:v>
                </c:pt>
                <c:pt idx="12">
                  <c:v>1.4934430783317185</c:v>
                </c:pt>
                <c:pt idx="13">
                  <c:v>0.4672273394740355</c:v>
                </c:pt>
                <c:pt idx="14">
                  <c:v>7.3166270349368942E-2</c:v>
                </c:pt>
                <c:pt idx="15">
                  <c:v>0.60992514555031885</c:v>
                </c:pt>
                <c:pt idx="16">
                  <c:v>1.0500341261090984</c:v>
                </c:pt>
                <c:pt idx="17">
                  <c:v>0.69261670591494673</c:v>
                </c:pt>
                <c:pt idx="18">
                  <c:v>0.25315814789499003</c:v>
                </c:pt>
                <c:pt idx="19">
                  <c:v>1.1588211343919321</c:v>
                </c:pt>
                <c:pt idx="20">
                  <c:v>0.25600000000000001</c:v>
                </c:pt>
                <c:pt idx="21">
                  <c:v>0.7102524947618879</c:v>
                </c:pt>
                <c:pt idx="22">
                  <c:v>0.26653636000177694</c:v>
                </c:pt>
                <c:pt idx="23">
                  <c:v>0.2819681376004512</c:v>
                </c:pt>
                <c:pt idx="24">
                  <c:v>0.15390027262334008</c:v>
                </c:pt>
                <c:pt idx="25">
                  <c:v>0</c:v>
                </c:pt>
                <c:pt idx="26">
                  <c:v>0.4303762321255033</c:v>
                </c:pt>
                <c:pt idx="27">
                  <c:v>0.16075878144843661</c:v>
                </c:pt>
                <c:pt idx="28">
                  <c:v>1.3778685798451085</c:v>
                </c:pt>
                <c:pt idx="29">
                  <c:v>0</c:v>
                </c:pt>
                <c:pt idx="30">
                  <c:v>0.2922481186527362</c:v>
                </c:pt>
                <c:pt idx="31">
                  <c:v>0</c:v>
                </c:pt>
                <c:pt idx="32">
                  <c:v>0</c:v>
                </c:pt>
              </c:numCache>
            </c:numRef>
          </c:val>
        </c:ser>
        <c:ser>
          <c:idx val="3"/>
          <c:order val="3"/>
          <c:tx>
            <c:strRef>
              <c:f>'Statistics - Children'!$V$180</c:f>
              <c:strCache>
                <c:ptCount val="1"/>
                <c:pt idx="0">
                  <c:v>With relatives or friends</c:v>
                </c:pt>
              </c:strCache>
            </c:strRef>
          </c:tx>
          <c:spPr>
            <a:solidFill>
              <a:srgbClr val="99CCFF"/>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Children'!$V$181:$V$213</c:f>
              <c:numCache>
                <c:formatCode>0.0</c:formatCode>
                <c:ptCount val="33"/>
                <c:pt idx="0">
                  <c:v>12.183512439814731</c:v>
                </c:pt>
                <c:pt idx="1">
                  <c:v>4.8988913035470922</c:v>
                </c:pt>
                <c:pt idx="2">
                  <c:v>8.1630355232787242</c:v>
                </c:pt>
                <c:pt idx="3">
                  <c:v>6.3563282856608714</c:v>
                </c:pt>
                <c:pt idx="4">
                  <c:v>6.5172270651722712</c:v>
                </c:pt>
                <c:pt idx="5">
                  <c:v>3.3967391304347827</c:v>
                </c:pt>
                <c:pt idx="6">
                  <c:v>5.1640161962326161</c:v>
                </c:pt>
                <c:pt idx="7">
                  <c:v>3.7954478273721546</c:v>
                </c:pt>
                <c:pt idx="8">
                  <c:v>3.2283310506750147</c:v>
                </c:pt>
                <c:pt idx="9">
                  <c:v>2.6740547767715617</c:v>
                </c:pt>
                <c:pt idx="10">
                  <c:v>4.235217462127383</c:v>
                </c:pt>
                <c:pt idx="11">
                  <c:v>2.7134876296887471</c:v>
                </c:pt>
                <c:pt idx="12">
                  <c:v>3.9915484478548331</c:v>
                </c:pt>
                <c:pt idx="13">
                  <c:v>3.4040849018822588</c:v>
                </c:pt>
                <c:pt idx="14">
                  <c:v>3.6583135174684469</c:v>
                </c:pt>
                <c:pt idx="15">
                  <c:v>2.9387302467424452</c:v>
                </c:pt>
                <c:pt idx="16">
                  <c:v>1.9425631333018323</c:v>
                </c:pt>
                <c:pt idx="17">
                  <c:v>2.2625479059888258</c:v>
                </c:pt>
                <c:pt idx="18">
                  <c:v>2.7341079972658924</c:v>
                </c:pt>
                <c:pt idx="19">
                  <c:v>0.93958470356102597</c:v>
                </c:pt>
                <c:pt idx="20">
                  <c:v>2.56</c:v>
                </c:pt>
                <c:pt idx="21">
                  <c:v>2.8410099790475516</c:v>
                </c:pt>
                <c:pt idx="22">
                  <c:v>1.6436408866776244</c:v>
                </c:pt>
                <c:pt idx="23">
                  <c:v>1.9267822736030829</c:v>
                </c:pt>
                <c:pt idx="24">
                  <c:v>1.4730454665376835</c:v>
                </c:pt>
                <c:pt idx="25">
                  <c:v>0.99725754176015957</c:v>
                </c:pt>
                <c:pt idx="26">
                  <c:v>3.1514646674996527</c:v>
                </c:pt>
                <c:pt idx="27">
                  <c:v>1.7522707177879591</c:v>
                </c:pt>
                <c:pt idx="28">
                  <c:v>2.5181736114410604</c:v>
                </c:pt>
                <c:pt idx="29">
                  <c:v>1.5888778550148956</c:v>
                </c:pt>
                <c:pt idx="30">
                  <c:v>1.3881785636004969</c:v>
                </c:pt>
                <c:pt idx="31">
                  <c:v>2.0508613617719442</c:v>
                </c:pt>
                <c:pt idx="32">
                  <c:v>1.7363623209376355</c:v>
                </c:pt>
              </c:numCache>
            </c:numRef>
          </c:val>
        </c:ser>
        <c:ser>
          <c:idx val="4"/>
          <c:order val="4"/>
          <c:tx>
            <c:strRef>
              <c:f>'Statistics - Children'!$W$180</c:f>
              <c:strCache>
                <c:ptCount val="1"/>
                <c:pt idx="0">
                  <c:v>Other</c:v>
                </c:pt>
              </c:strCache>
            </c:strRef>
          </c:tx>
          <c:spPr>
            <a:solidFill>
              <a:srgbClr val="660066"/>
            </a:solidFill>
            <a:ln w="12700">
              <a:solidFill>
                <a:srgbClr val="000000"/>
              </a:solidFill>
              <a:prstDash val="solid"/>
            </a:ln>
          </c:spPr>
          <c:invertIfNegative val="0"/>
          <c:cat>
            <c:strRef>
              <c:f>'Statistics - Children'!$R$181:$R$213</c:f>
              <c:strCache>
                <c:ptCount val="33"/>
                <c:pt idx="0">
                  <c:v>Glasgow City</c:v>
                </c:pt>
                <c:pt idx="1">
                  <c:v>Dundee City</c:v>
                </c:pt>
                <c:pt idx="2">
                  <c:v>West Dunbartonshire</c:v>
                </c:pt>
                <c:pt idx="3">
                  <c:v>North Ayrshire</c:v>
                </c:pt>
                <c:pt idx="4">
                  <c:v>East Ayrshire</c:v>
                </c:pt>
                <c:pt idx="5">
                  <c:v>Clackmannanshire</c:v>
                </c:pt>
                <c:pt idx="6">
                  <c:v>Renfrewshire</c:v>
                </c:pt>
                <c:pt idx="7">
                  <c:v>Edinburgh</c:v>
                </c:pt>
                <c:pt idx="8">
                  <c:v>South Ayrshire</c:v>
                </c:pt>
                <c:pt idx="9">
                  <c:v>Fife</c:v>
                </c:pt>
                <c:pt idx="10">
                  <c:v>Midlothian</c:v>
                </c:pt>
                <c:pt idx="11">
                  <c:v>Aberdeen City</c:v>
                </c:pt>
                <c:pt idx="12">
                  <c:v>Scotland</c:v>
                </c:pt>
                <c:pt idx="13">
                  <c:v>Inverclyde</c:v>
                </c:pt>
                <c:pt idx="14">
                  <c:v>Dumfries &amp; Galloway</c:v>
                </c:pt>
                <c:pt idx="15">
                  <c:v>Stirling</c:v>
                </c:pt>
                <c:pt idx="16">
                  <c:v>Moray</c:v>
                </c:pt>
                <c:pt idx="17">
                  <c:v>Scottish Borders</c:v>
                </c:pt>
                <c:pt idx="18">
                  <c:v>West Lothian</c:v>
                </c:pt>
                <c:pt idx="19">
                  <c:v>Falkirk</c:v>
                </c:pt>
                <c:pt idx="20">
                  <c:v>Argyll &amp; Bute</c:v>
                </c:pt>
                <c:pt idx="21">
                  <c:v>Perth &amp; Kinross</c:v>
                </c:pt>
                <c:pt idx="22">
                  <c:v>Angus</c:v>
                </c:pt>
                <c:pt idx="23">
                  <c:v>East Lothian</c:v>
                </c:pt>
                <c:pt idx="24">
                  <c:v>Highland</c:v>
                </c:pt>
                <c:pt idx="25">
                  <c:v>Orkney Islands</c:v>
                </c:pt>
                <c:pt idx="26">
                  <c:v>North Lanarkshire</c:v>
                </c:pt>
                <c:pt idx="27">
                  <c:v>South Lanarkshire</c:v>
                </c:pt>
                <c:pt idx="28">
                  <c:v>East Dunbartonshire</c:v>
                </c:pt>
                <c:pt idx="29">
                  <c:v>Eilean Siar</c:v>
                </c:pt>
                <c:pt idx="30">
                  <c:v>Aberdeenshire</c:v>
                </c:pt>
                <c:pt idx="31">
                  <c:v>Shetland Islands</c:v>
                </c:pt>
                <c:pt idx="32">
                  <c:v>East Renfrewshire</c:v>
                </c:pt>
              </c:strCache>
            </c:strRef>
          </c:cat>
          <c:val>
            <c:numRef>
              <c:f>'Statistics - Children'!$W$181:$W$213</c:f>
              <c:numCache>
                <c:formatCode>0.0</c:formatCode>
                <c:ptCount val="33"/>
                <c:pt idx="0">
                  <c:v>6.4075572561009098E-2</c:v>
                </c:pt>
                <c:pt idx="1">
                  <c:v>0.99451176838925937</c:v>
                </c:pt>
                <c:pt idx="2">
                  <c:v>0.67556156054720484</c:v>
                </c:pt>
                <c:pt idx="3">
                  <c:v>0.5608524957936063</c:v>
                </c:pt>
                <c:pt idx="4">
                  <c:v>0.49813200498132004</c:v>
                </c:pt>
                <c:pt idx="5">
                  <c:v>0.19409937888198756</c:v>
                </c:pt>
                <c:pt idx="6">
                  <c:v>0.52813802006924482</c:v>
                </c:pt>
                <c:pt idx="7">
                  <c:v>0.46112917528820574</c:v>
                </c:pt>
                <c:pt idx="8">
                  <c:v>0.63588338876932105</c:v>
                </c:pt>
                <c:pt idx="9">
                  <c:v>0</c:v>
                </c:pt>
                <c:pt idx="10">
                  <c:v>0.21719063908345551</c:v>
                </c:pt>
                <c:pt idx="11">
                  <c:v>0.42564511838254854</c:v>
                </c:pt>
                <c:pt idx="12">
                  <c:v>0.30101153425869376</c:v>
                </c:pt>
                <c:pt idx="13">
                  <c:v>0.33373381391002538</c:v>
                </c:pt>
                <c:pt idx="14">
                  <c:v>0.10974940552405341</c:v>
                </c:pt>
                <c:pt idx="15">
                  <c:v>0.27723870252287219</c:v>
                </c:pt>
                <c:pt idx="16">
                  <c:v>0.2625085315272746</c:v>
                </c:pt>
                <c:pt idx="17">
                  <c:v>0.27704668236597868</c:v>
                </c:pt>
                <c:pt idx="18">
                  <c:v>0.12657907394749501</c:v>
                </c:pt>
                <c:pt idx="19">
                  <c:v>0.43847286166181215</c:v>
                </c:pt>
                <c:pt idx="20">
                  <c:v>6.4000000000000001E-2</c:v>
                </c:pt>
                <c:pt idx="21">
                  <c:v>0.42615149685713266</c:v>
                </c:pt>
                <c:pt idx="22">
                  <c:v>0.57749544667051667</c:v>
                </c:pt>
                <c:pt idx="23">
                  <c:v>0.1409840688002256</c:v>
                </c:pt>
                <c:pt idx="24">
                  <c:v>0.54964383079764312</c:v>
                </c:pt>
                <c:pt idx="25">
                  <c:v>0.24931438544003989</c:v>
                </c:pt>
                <c:pt idx="26">
                  <c:v>0.12494793835901707</c:v>
                </c:pt>
                <c:pt idx="27">
                  <c:v>0.28936580660718592</c:v>
                </c:pt>
                <c:pt idx="28">
                  <c:v>0.19005083859932534</c:v>
                </c:pt>
                <c:pt idx="29">
                  <c:v>0</c:v>
                </c:pt>
                <c:pt idx="30">
                  <c:v>0.27398261123694018</c:v>
                </c:pt>
                <c:pt idx="31">
                  <c:v>0</c:v>
                </c:pt>
                <c:pt idx="32">
                  <c:v>9.6464573385424204E-2</c:v>
                </c:pt>
              </c:numCache>
            </c:numRef>
          </c:val>
        </c:ser>
        <c:dLbls>
          <c:showLegendKey val="0"/>
          <c:showVal val="0"/>
          <c:showCatName val="0"/>
          <c:showSerName val="0"/>
          <c:showPercent val="0"/>
          <c:showBubbleSize val="0"/>
        </c:dLbls>
        <c:gapWidth val="150"/>
        <c:overlap val="100"/>
        <c:axId val="345342720"/>
        <c:axId val="345344256"/>
      </c:barChart>
      <c:lineChart>
        <c:grouping val="standard"/>
        <c:varyColors val="0"/>
        <c:ser>
          <c:idx val="5"/>
          <c:order val="5"/>
          <c:tx>
            <c:strRef>
              <c:f>'Statistics - Children'!$Y$180</c:f>
              <c:strCache>
                <c:ptCount val="1"/>
                <c:pt idx="0">
                  <c:v>Highlight</c:v>
                </c:pt>
              </c:strCache>
            </c:strRef>
          </c:tx>
          <c:spPr>
            <a:ln w="28575">
              <a:noFill/>
            </a:ln>
          </c:spPr>
          <c:marker>
            <c:symbol val="none"/>
          </c:marker>
          <c:val>
            <c:numRef>
              <c:f>'Statistics - Children'!$Y$181:$Y$213</c:f>
              <c:numCache>
                <c:formatCode>General</c:formatCode>
                <c:ptCount val="33"/>
                <c:pt idx="0">
                  <c:v>#N/A</c:v>
                </c:pt>
                <c:pt idx="1">
                  <c:v>#N/A</c:v>
                </c:pt>
                <c:pt idx="2">
                  <c:v>#N/A</c:v>
                </c:pt>
                <c:pt idx="3">
                  <c:v>#N/A</c:v>
                </c:pt>
                <c:pt idx="4">
                  <c:v>#N/A</c:v>
                </c:pt>
                <c:pt idx="5">
                  <c:v>#N/A</c:v>
                </c:pt>
                <c:pt idx="6">
                  <c:v>#N/A</c:v>
                </c:pt>
                <c:pt idx="7">
                  <c:v>#N/A</c:v>
                </c:pt>
                <c:pt idx="8">
                  <c:v>#N/A</c:v>
                </c:pt>
                <c:pt idx="9">
                  <c:v>#N/A</c:v>
                </c:pt>
                <c:pt idx="10">
                  <c:v>#N/A</c:v>
                </c:pt>
                <c:pt idx="11">
                  <c:v>0</c:v>
                </c:pt>
                <c:pt idx="12">
                  <c:v>0</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6"/>
          <c:order val="6"/>
          <c:tx>
            <c:strRef>
              <c:f>'Statistics - Children'!$Z$180</c:f>
              <c:strCache>
                <c:ptCount val="1"/>
                <c:pt idx="0">
                  <c:v>Don't Highlight</c:v>
                </c:pt>
              </c:strCache>
            </c:strRef>
          </c:tx>
          <c:spPr>
            <a:ln w="28575">
              <a:noFill/>
            </a:ln>
          </c:spPr>
          <c:marker>
            <c:symbol val="none"/>
          </c:marker>
          <c:val>
            <c:numRef>
              <c:f>'Statistics - Children'!$Z$181:$Z$213</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#N/A</c:v>
                </c:pt>
                <c:pt idx="12">
                  <c:v>#N/A</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45342720"/>
        <c:axId val="345344256"/>
      </c:lineChart>
      <c:catAx>
        <c:axId val="34534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344256"/>
        <c:crosses val="autoZero"/>
        <c:auto val="0"/>
        <c:lblAlgn val="ctr"/>
        <c:lblOffset val="100"/>
        <c:tickLblSkip val="1"/>
        <c:tickMarkSkip val="1"/>
        <c:noMultiLvlLbl val="0"/>
      </c:catAx>
      <c:valAx>
        <c:axId val="3453442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0-17</a:t>
                </a:r>
              </a:p>
            </c:rich>
          </c:tx>
          <c:layout>
            <c:manualLayout>
              <c:xMode val="edge"/>
              <c:yMode val="edge"/>
              <c:x val="9.107484324276249E-3"/>
              <c:y val="0.27194860813704497"/>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342720"/>
        <c:crosses val="autoZero"/>
        <c:crossBetween val="between"/>
      </c:valAx>
      <c:spPr>
        <a:noFill/>
        <a:ln w="25400">
          <a:noFill/>
        </a:ln>
      </c:spPr>
    </c:plotArea>
    <c:legend>
      <c:legendPos val="b"/>
      <c:legendEntry>
        <c:idx val="5"/>
        <c:delete val="1"/>
      </c:legendEntry>
      <c:legendEntry>
        <c:idx val="6"/>
        <c:delete val="1"/>
      </c:legendEntry>
      <c:layout>
        <c:manualLayout>
          <c:xMode val="edge"/>
          <c:yMode val="edge"/>
          <c:x val="0.11475430248588073"/>
          <c:y val="0.16488222698072805"/>
          <c:w val="0.85063903588740164"/>
          <c:h val="7.7087794432548179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Total home care hours (all care groups)
(rate per 1,000 population aged 65+)</a:t>
            </a:r>
          </a:p>
        </c:rich>
      </c:tx>
      <c:layout>
        <c:manualLayout>
          <c:xMode val="edge"/>
          <c:yMode val="edge"/>
          <c:x val="0.23756948803214209"/>
          <c:y val="2.0408163265306121E-2"/>
        </c:manualLayout>
      </c:layout>
      <c:overlay val="0"/>
      <c:spPr>
        <a:noFill/>
        <a:ln w="25400">
          <a:noFill/>
        </a:ln>
      </c:spPr>
    </c:title>
    <c:autoTitleDeleted val="0"/>
    <c:plotArea>
      <c:layout>
        <c:manualLayout>
          <c:layoutTarget val="inner"/>
          <c:xMode val="edge"/>
          <c:yMode val="edge"/>
          <c:x val="0.15653803474986108"/>
          <c:y val="0.20408163265306123"/>
          <c:w val="0.79742316525517465"/>
          <c:h val="0.55102040816326525"/>
        </c:manualLayout>
      </c:layout>
      <c:lineChart>
        <c:grouping val="standard"/>
        <c:varyColors val="0"/>
        <c:ser>
          <c:idx val="0"/>
          <c:order val="0"/>
          <c:tx>
            <c:strRef>
              <c:f>Scotland!$K$531</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Scotland!$L$530:$P$530</c:f>
              <c:numCache>
                <c:formatCode>General</c:formatCode>
                <c:ptCount val="5"/>
                <c:pt idx="0">
                  <c:v>2005</c:v>
                </c:pt>
                <c:pt idx="1">
                  <c:v>2006</c:v>
                </c:pt>
                <c:pt idx="2">
                  <c:v>2007</c:v>
                </c:pt>
                <c:pt idx="3">
                  <c:v>2008</c:v>
                </c:pt>
                <c:pt idx="4">
                  <c:v>2009</c:v>
                </c:pt>
              </c:numCache>
            </c:numRef>
          </c:cat>
          <c:val>
            <c:numRef>
              <c:f>Scotland!$L$531:$P$531</c:f>
              <c:numCache>
                <c:formatCode>0.0</c:formatCode>
                <c:ptCount val="5"/>
                <c:pt idx="0">
                  <c:v>#N/A</c:v>
                </c:pt>
                <c:pt idx="1">
                  <c:v>#N/A</c:v>
                </c:pt>
                <c:pt idx="2">
                  <c:v>#N/A</c:v>
                </c:pt>
                <c:pt idx="3">
                  <c:v>#N/A</c:v>
                </c:pt>
                <c:pt idx="4">
                  <c:v>#N/A</c:v>
                </c:pt>
              </c:numCache>
            </c:numRef>
          </c:val>
          <c:smooth val="0"/>
        </c:ser>
        <c:ser>
          <c:idx val="1"/>
          <c:order val="1"/>
          <c:tx>
            <c:strRef>
              <c:f>Scotland!$K$532</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Scotland!$L$530:$P$530</c:f>
              <c:numCache>
                <c:formatCode>General</c:formatCode>
                <c:ptCount val="5"/>
                <c:pt idx="0">
                  <c:v>2005</c:v>
                </c:pt>
                <c:pt idx="1">
                  <c:v>2006</c:v>
                </c:pt>
                <c:pt idx="2">
                  <c:v>2007</c:v>
                </c:pt>
                <c:pt idx="3">
                  <c:v>2008</c:v>
                </c:pt>
                <c:pt idx="4">
                  <c:v>2009</c:v>
                </c:pt>
              </c:numCache>
            </c:numRef>
          </c:cat>
          <c:val>
            <c:numRef>
              <c:f>Scotland!$L$532:$P$532</c:f>
              <c:numCache>
                <c:formatCode>0.0</c:formatCode>
                <c:ptCount val="5"/>
                <c:pt idx="0">
                  <c:v>762.80875530532285</c:v>
                </c:pt>
                <c:pt idx="1">
                  <c:v>760.04824042692542</c:v>
                </c:pt>
                <c:pt idx="2">
                  <c:v>743.48698108565759</c:v>
                </c:pt>
                <c:pt idx="3">
                  <c:v>757.74887093913298</c:v>
                </c:pt>
                <c:pt idx="4">
                  <c:v>762.91283451811989</c:v>
                </c:pt>
              </c:numCache>
            </c:numRef>
          </c:val>
          <c:smooth val="0"/>
        </c:ser>
        <c:ser>
          <c:idx val="2"/>
          <c:order val="2"/>
          <c:tx>
            <c:strRef>
              <c:f>Scotland!$K$533</c:f>
              <c:strCache>
                <c:ptCount val="1"/>
                <c:pt idx="0">
                  <c:v>Min</c:v>
                </c:pt>
              </c:strCache>
            </c:strRef>
          </c:tx>
          <c:spPr>
            <a:ln w="25400">
              <a:solidFill>
                <a:srgbClr val="000000"/>
              </a:solidFill>
              <a:prstDash val="sysDash"/>
            </a:ln>
          </c:spPr>
          <c:marker>
            <c:symbol val="none"/>
          </c:marker>
          <c:val>
            <c:numRef>
              <c:f>Scotland!$L$533:$P$533</c:f>
              <c:numCache>
                <c:formatCode>0.0</c:formatCode>
                <c:ptCount val="5"/>
                <c:pt idx="0">
                  <c:v>312.84814504678343</c:v>
                </c:pt>
                <c:pt idx="1">
                  <c:v>290.80779944289691</c:v>
                </c:pt>
                <c:pt idx="2">
                  <c:v>294.39635535307519</c:v>
                </c:pt>
                <c:pt idx="3">
                  <c:v>294.07105050686283</c:v>
                </c:pt>
                <c:pt idx="4">
                  <c:v>270.92928162527443</c:v>
                </c:pt>
              </c:numCache>
            </c:numRef>
          </c:val>
          <c:smooth val="0"/>
        </c:ser>
        <c:ser>
          <c:idx val="3"/>
          <c:order val="3"/>
          <c:tx>
            <c:strRef>
              <c:f>Scotland!$K$534</c:f>
              <c:strCache>
                <c:ptCount val="1"/>
                <c:pt idx="0">
                  <c:v>Max</c:v>
                </c:pt>
              </c:strCache>
            </c:strRef>
          </c:tx>
          <c:spPr>
            <a:ln w="25400">
              <a:solidFill>
                <a:srgbClr val="000000"/>
              </a:solidFill>
              <a:prstDash val="sysDash"/>
            </a:ln>
          </c:spPr>
          <c:marker>
            <c:symbol val="none"/>
          </c:marker>
          <c:val>
            <c:numRef>
              <c:f>Scotland!$L$534:$P$534</c:f>
              <c:numCache>
                <c:formatCode>0.0</c:formatCode>
                <c:ptCount val="5"/>
                <c:pt idx="0">
                  <c:v>1438.0488233227959</c:v>
                </c:pt>
                <c:pt idx="1">
                  <c:v>1548.8510711817553</c:v>
                </c:pt>
                <c:pt idx="2">
                  <c:v>1569.191333276465</c:v>
                </c:pt>
                <c:pt idx="3">
                  <c:v>1562.4748812376508</c:v>
                </c:pt>
                <c:pt idx="4">
                  <c:v>1635.7225315212052</c:v>
                </c:pt>
              </c:numCache>
            </c:numRef>
          </c:val>
          <c:smooth val="0"/>
        </c:ser>
        <c:dLbls>
          <c:showLegendKey val="0"/>
          <c:showVal val="0"/>
          <c:showCatName val="0"/>
          <c:showSerName val="0"/>
          <c:showPercent val="0"/>
          <c:showBubbleSize val="0"/>
        </c:dLbls>
        <c:marker val="1"/>
        <c:smooth val="0"/>
        <c:axId val="345245568"/>
        <c:axId val="345247104"/>
      </c:lineChart>
      <c:catAx>
        <c:axId val="34524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247104"/>
        <c:crosses val="autoZero"/>
        <c:auto val="1"/>
        <c:lblAlgn val="ctr"/>
        <c:lblOffset val="100"/>
        <c:tickLblSkip val="1"/>
        <c:tickMarkSkip val="1"/>
        <c:noMultiLvlLbl val="0"/>
      </c:catAx>
      <c:valAx>
        <c:axId val="3452471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Hours per 1,000 population aged 65+</a:t>
                </a:r>
              </a:p>
            </c:rich>
          </c:tx>
          <c:layout>
            <c:manualLayout>
              <c:xMode val="edge"/>
              <c:yMode val="edge"/>
              <c:x val="9.2081196911682987E-3"/>
              <c:y val="0.122448979591836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245568"/>
        <c:crosses val="autoZero"/>
        <c:crossBetween val="between"/>
      </c:valAx>
      <c:spPr>
        <a:noFill/>
        <a:ln w="25400">
          <a:noFill/>
        </a:ln>
      </c:spPr>
    </c:plotArea>
    <c:legend>
      <c:legendPos val="r"/>
      <c:legendEntry>
        <c:idx val="0"/>
        <c:delete val="1"/>
      </c:legendEntry>
      <c:layout>
        <c:manualLayout>
          <c:xMode val="edge"/>
          <c:yMode val="edge"/>
          <c:x val="0.31860094131442313"/>
          <c:y val="0.87755102040816324"/>
          <c:w val="0.4640892324348822"/>
          <c:h val="9.795918367346938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Older people receiving intensive home care (10+ hours per week), 2008/09
(rate per 1,000 population aged 65+)</a:t>
            </a:r>
          </a:p>
        </c:rich>
      </c:tx>
      <c:layout>
        <c:manualLayout>
          <c:xMode val="edge"/>
          <c:yMode val="edge"/>
          <c:x val="0.11666687765277353"/>
          <c:y val="1.9292604501607719E-2"/>
        </c:manualLayout>
      </c:layout>
      <c:overlay val="0"/>
      <c:spPr>
        <a:noFill/>
        <a:ln w="25400">
          <a:noFill/>
        </a:ln>
      </c:spPr>
    </c:title>
    <c:autoTitleDeleted val="0"/>
    <c:plotArea>
      <c:layout>
        <c:manualLayout>
          <c:layoutTarget val="inner"/>
          <c:xMode val="edge"/>
          <c:yMode val="edge"/>
          <c:x val="0.13703728486198796"/>
          <c:y val="0.25723472668810288"/>
          <c:w val="0.83148298517611618"/>
          <c:h val="0.47266881028938906"/>
        </c:manualLayout>
      </c:layout>
      <c:barChart>
        <c:barDir val="col"/>
        <c:grouping val="clustered"/>
        <c:varyColors val="0"/>
        <c:ser>
          <c:idx val="1"/>
          <c:order val="0"/>
          <c:tx>
            <c:strRef>
              <c:f>'Statistics - Older People'!$B$310</c:f>
              <c:strCache>
                <c:ptCount val="1"/>
                <c:pt idx="0">
                  <c:v>Rate per 1,000 population aged 65+</c:v>
                </c:pt>
              </c:strCache>
            </c:strRef>
          </c:tx>
          <c:spPr>
            <a:solidFill>
              <a:srgbClr val="0000FF"/>
            </a:solidFill>
            <a:ln w="12700">
              <a:solidFill>
                <a:srgbClr val="000000"/>
              </a:solidFill>
              <a:prstDash val="solid"/>
            </a:ln>
          </c:spPr>
          <c:invertIfNegative val="0"/>
          <c:cat>
            <c:strRef>
              <c:f>'Statistics - Older People'!$A$311:$A$342</c:f>
              <c:strCache>
                <c:ptCount val="32"/>
                <c:pt idx="0">
                  <c:v>Glasgow City</c:v>
                </c:pt>
                <c:pt idx="1">
                  <c:v>East Dunbartonshire</c:v>
                </c:pt>
                <c:pt idx="2">
                  <c:v>Dumfries &amp; Galloway</c:v>
                </c:pt>
                <c:pt idx="3">
                  <c:v>North Lanarkshire</c:v>
                </c:pt>
                <c:pt idx="4">
                  <c:v>Argyll &amp; Bute</c:v>
                </c:pt>
                <c:pt idx="5">
                  <c:v>Inverclyde</c:v>
                </c:pt>
                <c:pt idx="6">
                  <c:v>North Ayrshire</c:v>
                </c:pt>
                <c:pt idx="7">
                  <c:v>West Dunbartonshire</c:v>
                </c:pt>
                <c:pt idx="8">
                  <c:v>Eilean Siar</c:v>
                </c:pt>
                <c:pt idx="9">
                  <c:v>Edinburgh</c:v>
                </c:pt>
                <c:pt idx="10">
                  <c:v>East Lothian</c:v>
                </c:pt>
                <c:pt idx="11">
                  <c:v>Clackmannanshire</c:v>
                </c:pt>
                <c:pt idx="12">
                  <c:v>Moray</c:v>
                </c:pt>
                <c:pt idx="13">
                  <c:v>Stirling</c:v>
                </c:pt>
                <c:pt idx="14">
                  <c:v>Shetland Islands</c:v>
                </c:pt>
                <c:pt idx="15">
                  <c:v>West Lothian</c:v>
                </c:pt>
                <c:pt idx="16">
                  <c:v>Dundee City</c:v>
                </c:pt>
                <c:pt idx="17">
                  <c:v>South Lanarkshire</c:v>
                </c:pt>
                <c:pt idx="18">
                  <c:v>South Ayrshire</c:v>
                </c:pt>
                <c:pt idx="19">
                  <c:v>Angus</c:v>
                </c:pt>
                <c:pt idx="20">
                  <c:v>Orkney Islands</c:v>
                </c:pt>
                <c:pt idx="21">
                  <c:v>Renfrewshire</c:v>
                </c:pt>
                <c:pt idx="22">
                  <c:v>East Ayrshire</c:v>
                </c:pt>
                <c:pt idx="23">
                  <c:v>Aberdeen City</c:v>
                </c:pt>
                <c:pt idx="24">
                  <c:v>Aberdeenshire</c:v>
                </c:pt>
                <c:pt idx="25">
                  <c:v>Falkirk</c:v>
                </c:pt>
                <c:pt idx="26">
                  <c:v>Midlothian</c:v>
                </c:pt>
                <c:pt idx="27">
                  <c:v>East Renfrewshire</c:v>
                </c:pt>
                <c:pt idx="28">
                  <c:v>Perth &amp; Kinross</c:v>
                </c:pt>
                <c:pt idx="29">
                  <c:v>Highland</c:v>
                </c:pt>
                <c:pt idx="30">
                  <c:v>Scottish Borders</c:v>
                </c:pt>
                <c:pt idx="31">
                  <c:v>Fife</c:v>
                </c:pt>
              </c:strCache>
            </c:strRef>
          </c:cat>
          <c:val>
            <c:numRef>
              <c:f>'Statistics - Older People'!$B$311:$B$342</c:f>
              <c:numCache>
                <c:formatCode>0.0</c:formatCode>
                <c:ptCount val="32"/>
                <c:pt idx="0">
                  <c:v>31.340907186381433</c:v>
                </c:pt>
                <c:pt idx="1">
                  <c:v>28.376944837340879</c:v>
                </c:pt>
                <c:pt idx="2">
                  <c:v>27.401090451558787</c:v>
                </c:pt>
                <c:pt idx="3">
                  <c:v>24.985399328369105</c:v>
                </c:pt>
                <c:pt idx="4">
                  <c:v>24.29897688518378</c:v>
                </c:pt>
                <c:pt idx="5">
                  <c:v>24.026512013256006</c:v>
                </c:pt>
                <c:pt idx="6">
                  <c:v>23.376623376623378</c:v>
                </c:pt>
                <c:pt idx="7">
                  <c:v>22.806683184041674</c:v>
                </c:pt>
                <c:pt idx="8">
                  <c:v>21.874030406453613</c:v>
                </c:pt>
                <c:pt idx="9">
                  <c:v>21.62337926269154</c:v>
                </c:pt>
                <c:pt idx="10">
                  <c:v>20.876077144029544</c:v>
                </c:pt>
                <c:pt idx="11">
                  <c:v>19.723443027119735</c:v>
                </c:pt>
                <c:pt idx="12">
                  <c:v>19.684210526315791</c:v>
                </c:pt>
                <c:pt idx="13">
                  <c:v>19.198862289642097</c:v>
                </c:pt>
                <c:pt idx="14">
                  <c:v>18.431001890359166</c:v>
                </c:pt>
                <c:pt idx="15">
                  <c:v>18.356063398451898</c:v>
                </c:pt>
                <c:pt idx="16">
                  <c:v>18.064816250581487</c:v>
                </c:pt>
                <c:pt idx="17">
                  <c:v>17.445493681433135</c:v>
                </c:pt>
                <c:pt idx="18">
                  <c:v>16.56809220503488</c:v>
                </c:pt>
                <c:pt idx="19">
                  <c:v>15.175750009753052</c:v>
                </c:pt>
                <c:pt idx="20">
                  <c:v>14.839940640237439</c:v>
                </c:pt>
                <c:pt idx="21">
                  <c:v>14.645208024944097</c:v>
                </c:pt>
                <c:pt idx="22">
                  <c:v>14.005602240896359</c:v>
                </c:pt>
                <c:pt idx="23">
                  <c:v>13.163655468316744</c:v>
                </c:pt>
                <c:pt idx="24">
                  <c:v>12.688914125971872</c:v>
                </c:pt>
                <c:pt idx="25">
                  <c:v>12.660491398733951</c:v>
                </c:pt>
                <c:pt idx="26">
                  <c:v>12.553641196438864</c:v>
                </c:pt>
                <c:pt idx="27">
                  <c:v>9.6670247046186901</c:v>
                </c:pt>
                <c:pt idx="28">
                  <c:v>9.0417025464386764</c:v>
                </c:pt>
                <c:pt idx="29">
                  <c:v>9.0180152035822143</c:v>
                </c:pt>
                <c:pt idx="30">
                  <c:v>8.6210170521438609</c:v>
                </c:pt>
                <c:pt idx="31">
                  <c:v>8.1195558870298186</c:v>
                </c:pt>
              </c:numCache>
            </c:numRef>
          </c:val>
        </c:ser>
        <c:dLbls>
          <c:showLegendKey val="0"/>
          <c:showVal val="0"/>
          <c:showCatName val="0"/>
          <c:showSerName val="0"/>
          <c:showPercent val="0"/>
          <c:showBubbleSize val="0"/>
        </c:dLbls>
        <c:gapWidth val="150"/>
        <c:overlap val="100"/>
        <c:axId val="345291776"/>
        <c:axId val="345297664"/>
      </c:barChart>
      <c:lineChart>
        <c:grouping val="standard"/>
        <c:varyColors val="0"/>
        <c:ser>
          <c:idx val="2"/>
          <c:order val="1"/>
          <c:tx>
            <c:strRef>
              <c:f>'Statistics - Older People'!$D$310</c:f>
              <c:strCache>
                <c:ptCount val="1"/>
                <c:pt idx="0">
                  <c:v>Scottish rate</c:v>
                </c:pt>
              </c:strCache>
            </c:strRef>
          </c:tx>
          <c:spPr>
            <a:ln w="25400">
              <a:solidFill>
                <a:srgbClr val="000000"/>
              </a:solidFill>
              <a:prstDash val="solid"/>
            </a:ln>
          </c:spPr>
          <c:marker>
            <c:symbol val="none"/>
          </c:marker>
          <c:cat>
            <c:strRef>
              <c:f>'Statistics - Older People'!$A$311:$A$342</c:f>
              <c:strCache>
                <c:ptCount val="32"/>
                <c:pt idx="0">
                  <c:v>Glasgow City</c:v>
                </c:pt>
                <c:pt idx="1">
                  <c:v>East Dunbartonshire</c:v>
                </c:pt>
                <c:pt idx="2">
                  <c:v>Dumfries &amp; Galloway</c:v>
                </c:pt>
                <c:pt idx="3">
                  <c:v>North Lanarkshire</c:v>
                </c:pt>
                <c:pt idx="4">
                  <c:v>Argyll &amp; Bute</c:v>
                </c:pt>
                <c:pt idx="5">
                  <c:v>Inverclyde</c:v>
                </c:pt>
                <c:pt idx="6">
                  <c:v>North Ayrshire</c:v>
                </c:pt>
                <c:pt idx="7">
                  <c:v>West Dunbartonshire</c:v>
                </c:pt>
                <c:pt idx="8">
                  <c:v>Eilean Siar</c:v>
                </c:pt>
                <c:pt idx="9">
                  <c:v>Edinburgh</c:v>
                </c:pt>
                <c:pt idx="10">
                  <c:v>East Lothian</c:v>
                </c:pt>
                <c:pt idx="11">
                  <c:v>Clackmannanshire</c:v>
                </c:pt>
                <c:pt idx="12">
                  <c:v>Moray</c:v>
                </c:pt>
                <c:pt idx="13">
                  <c:v>Stirling</c:v>
                </c:pt>
                <c:pt idx="14">
                  <c:v>Shetland Islands</c:v>
                </c:pt>
                <c:pt idx="15">
                  <c:v>West Lothian</c:v>
                </c:pt>
                <c:pt idx="16">
                  <c:v>Dundee City</c:v>
                </c:pt>
                <c:pt idx="17">
                  <c:v>South Lanarkshire</c:v>
                </c:pt>
                <c:pt idx="18">
                  <c:v>South Ayrshire</c:v>
                </c:pt>
                <c:pt idx="19">
                  <c:v>Angus</c:v>
                </c:pt>
                <c:pt idx="20">
                  <c:v>Orkney Islands</c:v>
                </c:pt>
                <c:pt idx="21">
                  <c:v>Renfrewshire</c:v>
                </c:pt>
                <c:pt idx="22">
                  <c:v>East Ayrshire</c:v>
                </c:pt>
                <c:pt idx="23">
                  <c:v>Aberdeen City</c:v>
                </c:pt>
                <c:pt idx="24">
                  <c:v>Aberdeenshire</c:v>
                </c:pt>
                <c:pt idx="25">
                  <c:v>Falkirk</c:v>
                </c:pt>
                <c:pt idx="26">
                  <c:v>Midlothian</c:v>
                </c:pt>
                <c:pt idx="27">
                  <c:v>East Renfrewshire</c:v>
                </c:pt>
                <c:pt idx="28">
                  <c:v>Perth &amp; Kinross</c:v>
                </c:pt>
                <c:pt idx="29">
                  <c:v>Highland</c:v>
                </c:pt>
                <c:pt idx="30">
                  <c:v>Scottish Borders</c:v>
                </c:pt>
                <c:pt idx="31">
                  <c:v>Fife</c:v>
                </c:pt>
              </c:strCache>
            </c:strRef>
          </c:cat>
          <c:val>
            <c:numRef>
              <c:f>'Statistics - Older People'!$D$311:$D$342</c:f>
              <c:numCache>
                <c:formatCode>0.0</c:formatCode>
                <c:ptCount val="32"/>
                <c:pt idx="0">
                  <c:v>17.355628781409123</c:v>
                </c:pt>
                <c:pt idx="1">
                  <c:v>17.355628781409123</c:v>
                </c:pt>
                <c:pt idx="2">
                  <c:v>17.355628781409123</c:v>
                </c:pt>
                <c:pt idx="3">
                  <c:v>17.355628781409123</c:v>
                </c:pt>
                <c:pt idx="4">
                  <c:v>17.355628781409123</c:v>
                </c:pt>
                <c:pt idx="5">
                  <c:v>17.355628781409123</c:v>
                </c:pt>
                <c:pt idx="6">
                  <c:v>17.355628781409123</c:v>
                </c:pt>
                <c:pt idx="7">
                  <c:v>17.355628781409123</c:v>
                </c:pt>
                <c:pt idx="8">
                  <c:v>17.355628781409123</c:v>
                </c:pt>
                <c:pt idx="9">
                  <c:v>17.355628781409123</c:v>
                </c:pt>
                <c:pt idx="10">
                  <c:v>17.355628781409123</c:v>
                </c:pt>
                <c:pt idx="11">
                  <c:v>17.355628781409123</c:v>
                </c:pt>
                <c:pt idx="12">
                  <c:v>17.355628781409123</c:v>
                </c:pt>
                <c:pt idx="13">
                  <c:v>17.355628781409123</c:v>
                </c:pt>
                <c:pt idx="14">
                  <c:v>17.355628781409123</c:v>
                </c:pt>
                <c:pt idx="15">
                  <c:v>17.355628781409123</c:v>
                </c:pt>
                <c:pt idx="16">
                  <c:v>17.355628781409123</c:v>
                </c:pt>
                <c:pt idx="17">
                  <c:v>17.355628781409123</c:v>
                </c:pt>
                <c:pt idx="18">
                  <c:v>17.355628781409123</c:v>
                </c:pt>
                <c:pt idx="19">
                  <c:v>17.355628781409123</c:v>
                </c:pt>
                <c:pt idx="20">
                  <c:v>17.355628781409123</c:v>
                </c:pt>
                <c:pt idx="21">
                  <c:v>17.355628781409123</c:v>
                </c:pt>
                <c:pt idx="22">
                  <c:v>17.355628781409123</c:v>
                </c:pt>
                <c:pt idx="23">
                  <c:v>17.355628781409123</c:v>
                </c:pt>
                <c:pt idx="24">
                  <c:v>17.355628781409123</c:v>
                </c:pt>
                <c:pt idx="25">
                  <c:v>17.355628781409123</c:v>
                </c:pt>
                <c:pt idx="26">
                  <c:v>17.355628781409123</c:v>
                </c:pt>
                <c:pt idx="27">
                  <c:v>17.355628781409123</c:v>
                </c:pt>
                <c:pt idx="28">
                  <c:v>17.355628781409123</c:v>
                </c:pt>
                <c:pt idx="29">
                  <c:v>17.355628781409123</c:v>
                </c:pt>
                <c:pt idx="30">
                  <c:v>17.355628781409123</c:v>
                </c:pt>
                <c:pt idx="31">
                  <c:v>17.355628781409123</c:v>
                </c:pt>
              </c:numCache>
            </c:numRef>
          </c:val>
          <c:smooth val="0"/>
        </c:ser>
        <c:dLbls>
          <c:showLegendKey val="0"/>
          <c:showVal val="0"/>
          <c:showCatName val="0"/>
          <c:showSerName val="0"/>
          <c:showPercent val="0"/>
          <c:showBubbleSize val="0"/>
        </c:dLbls>
        <c:marker val="1"/>
        <c:smooth val="0"/>
        <c:axId val="345299584"/>
        <c:axId val="345301376"/>
      </c:lineChart>
      <c:catAx>
        <c:axId val="3452917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297664"/>
        <c:crosses val="autoZero"/>
        <c:auto val="0"/>
        <c:lblAlgn val="ctr"/>
        <c:lblOffset val="100"/>
        <c:tickLblSkip val="1"/>
        <c:tickMarkSkip val="1"/>
        <c:noMultiLvlLbl val="0"/>
      </c:catAx>
      <c:valAx>
        <c:axId val="3452976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2592760041883757E-3"/>
              <c:y val="0.1672025723472668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291776"/>
        <c:crosses val="autoZero"/>
        <c:crossBetween val="between"/>
      </c:valAx>
      <c:catAx>
        <c:axId val="345299584"/>
        <c:scaling>
          <c:orientation val="minMax"/>
        </c:scaling>
        <c:delete val="1"/>
        <c:axPos val="b"/>
        <c:majorTickMark val="out"/>
        <c:minorTickMark val="none"/>
        <c:tickLblPos val="nextTo"/>
        <c:crossAx val="345301376"/>
        <c:crosses val="autoZero"/>
        <c:auto val="0"/>
        <c:lblAlgn val="ctr"/>
        <c:lblOffset val="100"/>
        <c:noMultiLvlLbl val="0"/>
      </c:catAx>
      <c:valAx>
        <c:axId val="345301376"/>
        <c:scaling>
          <c:orientation val="minMax"/>
        </c:scaling>
        <c:delete val="1"/>
        <c:axPos val="l"/>
        <c:numFmt formatCode="0.0" sourceLinked="1"/>
        <c:majorTickMark val="out"/>
        <c:minorTickMark val="none"/>
        <c:tickLblPos val="nextTo"/>
        <c:crossAx val="34529958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Total home care hours by sector
(rate per 1,000 population aged 65+)</a:t>
            </a:r>
          </a:p>
        </c:rich>
      </c:tx>
      <c:layout>
        <c:manualLayout>
          <c:xMode val="edge"/>
          <c:yMode val="edge"/>
          <c:x val="0.26691065873394898"/>
          <c:y val="1.6528970086976173E-2"/>
        </c:manualLayout>
      </c:layout>
      <c:overlay val="0"/>
      <c:spPr>
        <a:noFill/>
        <a:ln w="25400">
          <a:noFill/>
        </a:ln>
      </c:spPr>
    </c:title>
    <c:autoTitleDeleted val="0"/>
    <c:plotArea>
      <c:layout>
        <c:manualLayout>
          <c:layoutTarget val="inner"/>
          <c:xMode val="edge"/>
          <c:yMode val="edge"/>
          <c:x val="0.126142708579743"/>
          <c:y val="0.27823766313076559"/>
          <c:w val="0.84460770092523574"/>
          <c:h val="0.45179184904401537"/>
        </c:manualLayout>
      </c:layout>
      <c:barChart>
        <c:barDir val="col"/>
        <c:grouping val="stacked"/>
        <c:varyColors val="0"/>
        <c:ser>
          <c:idx val="0"/>
          <c:order val="0"/>
          <c:tx>
            <c:strRef>
              <c:f>'Statistics - Older People'!$N$351</c:f>
              <c:strCache>
                <c:ptCount val="1"/>
              </c:strCache>
            </c:strRef>
          </c:tx>
          <c:spPr>
            <a:solidFill>
              <a:srgbClr val="0000FF"/>
            </a:solidFill>
            <a:ln w="12700">
              <a:solidFill>
                <a:srgbClr val="000000"/>
              </a:solidFill>
              <a:prstDash val="solid"/>
            </a:ln>
          </c:spPr>
          <c:invertIfNegative val="0"/>
          <c:cat>
            <c:numRef>
              <c:f>'Statistics - Older People'!$M$352:$M$384</c:f>
              <c:numCache>
                <c:formatCode>General</c:formatCode>
                <c:ptCount val="33"/>
              </c:numCache>
            </c:numRef>
          </c:cat>
          <c:val>
            <c:numRef>
              <c:f>'Statistics - Older People'!$N$352:$N$384</c:f>
              <c:numCache>
                <c:formatCode>General</c:formatCode>
                <c:ptCount val="33"/>
              </c:numCache>
            </c:numRef>
          </c:val>
        </c:ser>
        <c:ser>
          <c:idx val="1"/>
          <c:order val="1"/>
          <c:tx>
            <c:strRef>
              <c:f>'Statistics - Older People'!$O$351</c:f>
              <c:strCache>
                <c:ptCount val="1"/>
                <c:pt idx="0">
                  <c:v>Local Authority</c:v>
                </c:pt>
              </c:strCache>
            </c:strRef>
          </c:tx>
          <c:spPr>
            <a:solidFill>
              <a:srgbClr val="FF0000"/>
            </a:solidFill>
            <a:ln w="12700">
              <a:solidFill>
                <a:srgbClr val="000000"/>
              </a:solidFill>
              <a:prstDash val="solid"/>
            </a:ln>
          </c:spPr>
          <c:invertIfNegative val="0"/>
          <c:val>
            <c:numRef>
              <c:f>'Statistics - Older People'!$O$352:$O$384</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ser>
          <c:idx val="2"/>
          <c:order val="2"/>
          <c:tx>
            <c:strRef>
              <c:f>'Statistics - Older People'!$P$351</c:f>
              <c:strCache>
                <c:ptCount val="1"/>
                <c:pt idx="0">
                  <c:v>Solely from Local Authority</c:v>
                </c:pt>
              </c:strCache>
            </c:strRef>
          </c:tx>
          <c:spPr>
            <a:solidFill>
              <a:srgbClr val="008000"/>
            </a:solidFill>
            <a:ln w="12700">
              <a:solidFill>
                <a:srgbClr val="000000"/>
              </a:solidFill>
              <a:prstDash val="solid"/>
            </a:ln>
          </c:spPr>
          <c:invertIfNegative val="0"/>
          <c:val>
            <c:numRef>
              <c:f>'Statistics - Older People'!$P$352:$P$384</c:f>
              <c:numCache>
                <c:formatCode>0.0</c:formatCode>
                <c:ptCount val="33"/>
                <c:pt idx="0">
                  <c:v>13.260254596888259</c:v>
                </c:pt>
                <c:pt idx="1">
                  <c:v>71.106897369044802</c:v>
                </c:pt>
                <c:pt idx="2">
                  <c:v>66.680344686089455</c:v>
                </c:pt>
                <c:pt idx="3">
                  <c:v>117.43324479239479</c:v>
                </c:pt>
                <c:pt idx="4">
                  <c:v>220.46549714969606</c:v>
                </c:pt>
                <c:pt idx="5">
                  <c:v>293.16168504238101</c:v>
                </c:pt>
                <c:pt idx="6">
                  <c:v>178.83997886436615</c:v>
                </c:pt>
                <c:pt idx="7">
                  <c:v>203.58020358020357</c:v>
                </c:pt>
                <c:pt idx="8">
                  <c:v>648.84536650186158</c:v>
                </c:pt>
                <c:pt idx="9">
                  <c:v>64.315575088433917</c:v>
                </c:pt>
                <c:pt idx="10">
                  <c:v>196.70254998032974</c:v>
                </c:pt>
                <c:pt idx="11">
                  <c:v>275.80262874380526</c:v>
                </c:pt>
                <c:pt idx="12">
                  <c:v>220.93072344257911</c:v>
                </c:pt>
                <c:pt idx="13">
                  <c:v>310.72073323149561</c:v>
                </c:pt>
                <c:pt idx="14">
                  <c:v>239.0568253047071</c:v>
                </c:pt>
                <c:pt idx="15">
                  <c:v>698.10735339745577</c:v>
                </c:pt>
                <c:pt idx="16">
                  <c:v>151.65301789505611</c:v>
                </c:pt>
                <c:pt idx="17">
                  <c:v>110.57869517139697</c:v>
                </c:pt>
                <c:pt idx="18">
                  <c:v>315.99890765809698</c:v>
                </c:pt>
                <c:pt idx="19">
                  <c:v>609.87230798551548</c:v>
                </c:pt>
                <c:pt idx="20">
                  <c:v>0</c:v>
                </c:pt>
                <c:pt idx="21">
                  <c:v>257.89473684210526</c:v>
                </c:pt>
                <c:pt idx="22">
                  <c:v>232.59420065126378</c:v>
                </c:pt>
                <c:pt idx="23">
                  <c:v>543.47826086956513</c:v>
                </c:pt>
                <c:pt idx="24">
                  <c:v>390.56796612644177</c:v>
                </c:pt>
                <c:pt idx="25">
                  <c:v>85.259568018188702</c:v>
                </c:pt>
                <c:pt idx="26">
                  <c:v>529.99788000847991</c:v>
                </c:pt>
                <c:pt idx="27">
                  <c:v>0</c:v>
                </c:pt>
                <c:pt idx="28">
                  <c:v>165.98235345505373</c:v>
                </c:pt>
                <c:pt idx="29">
                  <c:v>197.86307874950535</c:v>
                </c:pt>
                <c:pt idx="30">
                  <c:v>39.98031738221183</c:v>
                </c:pt>
                <c:pt idx="31">
                  <c:v>163.30560935779121</c:v>
                </c:pt>
                <c:pt idx="32">
                  <c:v>127.04363219827137</c:v>
                </c:pt>
              </c:numCache>
            </c:numRef>
          </c:val>
        </c:ser>
        <c:dLbls>
          <c:showLegendKey val="0"/>
          <c:showVal val="0"/>
          <c:showCatName val="0"/>
          <c:showSerName val="0"/>
          <c:showPercent val="0"/>
          <c:showBubbleSize val="0"/>
        </c:dLbls>
        <c:gapWidth val="150"/>
        <c:overlap val="100"/>
        <c:axId val="345397888"/>
        <c:axId val="345403776"/>
      </c:barChart>
      <c:lineChart>
        <c:grouping val="standard"/>
        <c:varyColors val="0"/>
        <c:ser>
          <c:idx val="3"/>
          <c:order val="3"/>
          <c:tx>
            <c:strRef>
              <c:f>'Statistics - Older People'!$R$351</c:f>
              <c:strCache>
                <c:ptCount val="1"/>
                <c:pt idx="0">
                  <c:v>Solely from private/voluntary sector</c:v>
                </c:pt>
              </c:strCache>
            </c:strRef>
          </c:tx>
          <c:spPr>
            <a:ln w="28575">
              <a:noFill/>
            </a:ln>
          </c:spPr>
          <c:marker>
            <c:symbol val="none"/>
          </c:marker>
          <c:val>
            <c:numRef>
              <c:f>'Statistics - Older People'!$R$352:$R$384</c:f>
              <c:numCache>
                <c:formatCode>0.0</c:formatCode>
                <c:ptCount val="33"/>
                <c:pt idx="0">
                  <c:v>525.99009900990097</c:v>
                </c:pt>
                <c:pt idx="1">
                  <c:v>23.702299123014932</c:v>
                </c:pt>
                <c:pt idx="2">
                  <c:v>30.775543701272056</c:v>
                </c:pt>
                <c:pt idx="3">
                  <c:v>120.22927443030896</c:v>
                </c:pt>
                <c:pt idx="4">
                  <c:v>40.943592327800694</c:v>
                </c:pt>
                <c:pt idx="5">
                  <c:v>656.42725129054872</c:v>
                </c:pt>
                <c:pt idx="6">
                  <c:v>44.709994716091536</c:v>
                </c:pt>
                <c:pt idx="7">
                  <c:v>70.200070200070201</c:v>
                </c:pt>
                <c:pt idx="8">
                  <c:v>38.308213520405111</c:v>
                </c:pt>
                <c:pt idx="9">
                  <c:v>0</c:v>
                </c:pt>
                <c:pt idx="10">
                  <c:v>57.222559994277745</c:v>
                </c:pt>
                <c:pt idx="11">
                  <c:v>43.094160741219561</c:v>
                </c:pt>
                <c:pt idx="12">
                  <c:v>70.360103007190801</c:v>
                </c:pt>
                <c:pt idx="13">
                  <c:v>53.811970559644493</c:v>
                </c:pt>
                <c:pt idx="14">
                  <c:v>74.453551207211163</c:v>
                </c:pt>
                <c:pt idx="15">
                  <c:v>0</c:v>
                </c:pt>
                <c:pt idx="16">
                  <c:v>0</c:v>
                </c:pt>
                <c:pt idx="17">
                  <c:v>14.743826022852931</c:v>
                </c:pt>
                <c:pt idx="18">
                  <c:v>198.96227519213514</c:v>
                </c:pt>
                <c:pt idx="19">
                  <c:v>31.764182707578936</c:v>
                </c:pt>
                <c:pt idx="20">
                  <c:v>6.4049189777749316</c:v>
                </c:pt>
                <c:pt idx="21">
                  <c:v>57.89473684210526</c:v>
                </c:pt>
                <c:pt idx="22">
                  <c:v>135.67995037990386</c:v>
                </c:pt>
                <c:pt idx="23">
                  <c:v>47.258979206049148</c:v>
                </c:pt>
                <c:pt idx="24">
                  <c:v>133.23112863191707</c:v>
                </c:pt>
                <c:pt idx="25">
                  <c:v>18.946570670708603</c:v>
                </c:pt>
                <c:pt idx="26">
                  <c:v>0</c:v>
                </c:pt>
                <c:pt idx="27">
                  <c:v>0</c:v>
                </c:pt>
                <c:pt idx="28">
                  <c:v>48.047523368568186</c:v>
                </c:pt>
                <c:pt idx="29">
                  <c:v>56.532308214144386</c:v>
                </c:pt>
                <c:pt idx="30">
                  <c:v>3.0754090294009102</c:v>
                </c:pt>
                <c:pt idx="31">
                  <c:v>18.989024343929209</c:v>
                </c:pt>
                <c:pt idx="32">
                  <c:v>35.405602415911694</c:v>
                </c:pt>
              </c:numCache>
            </c:numRef>
          </c:val>
          <c:smooth val="0"/>
        </c:ser>
        <c:ser>
          <c:idx val="4"/>
          <c:order val="4"/>
          <c:tx>
            <c:strRef>
              <c:f>'Statistics - Older People'!$S$351</c:f>
              <c:strCache>
                <c:ptCount val="1"/>
                <c:pt idx="0">
                  <c:v>Other combination</c:v>
                </c:pt>
              </c:strCache>
            </c:strRef>
          </c:tx>
          <c:spPr>
            <a:ln w="28575">
              <a:noFill/>
            </a:ln>
          </c:spPr>
          <c:marker>
            <c:symbol val="none"/>
          </c:marker>
          <c:val>
            <c:numRef>
              <c:f>'Statistics - Older People'!$S$352:$S$384</c:f>
              <c:numCache>
                <c:formatCode>0.0</c:formatCode>
                <c:ptCount val="33"/>
                <c:pt idx="0">
                  <c:v>8.8401697312588396</c:v>
                </c:pt>
                <c:pt idx="1">
                  <c:v>82.958046930552271</c:v>
                </c:pt>
                <c:pt idx="2">
                  <c:v>25.64628641772671</c:v>
                </c:pt>
                <c:pt idx="3">
                  <c:v>30.75632601705578</c:v>
                </c:pt>
                <c:pt idx="4">
                  <c:v>18.89704261283109</c:v>
                </c:pt>
                <c:pt idx="5">
                  <c:v>0</c:v>
                </c:pt>
                <c:pt idx="6">
                  <c:v>10.838786597840372</c:v>
                </c:pt>
                <c:pt idx="7">
                  <c:v>0</c:v>
                </c:pt>
                <c:pt idx="8">
                  <c:v>0</c:v>
                </c:pt>
                <c:pt idx="9">
                  <c:v>10.719262514738986</c:v>
                </c:pt>
                <c:pt idx="10">
                  <c:v>28.611279997138872</c:v>
                </c:pt>
                <c:pt idx="11">
                  <c:v>0</c:v>
                </c:pt>
                <c:pt idx="12">
                  <c:v>18.293626781869609</c:v>
                </c:pt>
                <c:pt idx="13">
                  <c:v>29.509790306901817</c:v>
                </c:pt>
                <c:pt idx="14">
                  <c:v>10.016635876698311</c:v>
                </c:pt>
                <c:pt idx="15">
                  <c:v>0</c:v>
                </c:pt>
                <c:pt idx="16">
                  <c:v>0</c:v>
                </c:pt>
                <c:pt idx="17">
                  <c:v>0</c:v>
                </c:pt>
                <c:pt idx="18">
                  <c:v>11.703663246596184</c:v>
                </c:pt>
                <c:pt idx="19">
                  <c:v>0</c:v>
                </c:pt>
                <c:pt idx="20">
                  <c:v>0</c:v>
                </c:pt>
                <c:pt idx="21">
                  <c:v>5.2631578947368416</c:v>
                </c:pt>
                <c:pt idx="22">
                  <c:v>19.38285005427198</c:v>
                </c:pt>
                <c:pt idx="23">
                  <c:v>0</c:v>
                </c:pt>
                <c:pt idx="24">
                  <c:v>0</c:v>
                </c:pt>
                <c:pt idx="25">
                  <c:v>4.7366426676771507</c:v>
                </c:pt>
                <c:pt idx="26">
                  <c:v>0</c:v>
                </c:pt>
                <c:pt idx="27">
                  <c:v>5.8375412276349206</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45397888"/>
        <c:axId val="345403776"/>
      </c:lineChart>
      <c:catAx>
        <c:axId val="345397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403776"/>
        <c:crosses val="autoZero"/>
        <c:auto val="0"/>
        <c:lblAlgn val="ctr"/>
        <c:lblOffset val="100"/>
        <c:tickLblSkip val="1"/>
        <c:tickMarkSkip val="1"/>
        <c:noMultiLvlLbl val="0"/>
      </c:catAx>
      <c:valAx>
        <c:axId val="3454037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1407759840393486E-3"/>
              <c:y val="0.190083156000225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397888"/>
        <c:crosses val="autoZero"/>
        <c:crossBetween val="between"/>
      </c:valAx>
      <c:spPr>
        <a:noFill/>
        <a:ln w="25400">
          <a:noFill/>
        </a:ln>
      </c:spPr>
    </c:plotArea>
    <c:legend>
      <c:legendPos val="b"/>
      <c:legendEntry>
        <c:idx val="3"/>
        <c:delete val="1"/>
      </c:legendEntry>
      <c:legendEntry>
        <c:idx val="4"/>
        <c:delete val="1"/>
      </c:legendEntry>
      <c:layout>
        <c:manualLayout>
          <c:xMode val="edge"/>
          <c:yMode val="edge"/>
          <c:x val="8.5923294249969875E-2"/>
          <c:y val="0.13498658904363875"/>
          <c:w val="0.89031158084543249"/>
          <c:h val="0.1212124473044919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Balance of care: Supported in care homes and intensive home care, 2008/09</a:t>
            </a:r>
          </a:p>
        </c:rich>
      </c:tx>
      <c:layout>
        <c:manualLayout>
          <c:xMode val="edge"/>
          <c:yMode val="edge"/>
          <c:x val="0.13099630996309963"/>
          <c:y val="3.4482855386963975E-2"/>
        </c:manualLayout>
      </c:layout>
      <c:overlay val="0"/>
      <c:spPr>
        <a:noFill/>
        <a:ln w="25400">
          <a:noFill/>
        </a:ln>
      </c:spPr>
    </c:title>
    <c:autoTitleDeleted val="0"/>
    <c:plotArea>
      <c:layout>
        <c:manualLayout>
          <c:layoutTarget val="inner"/>
          <c:xMode val="edge"/>
          <c:yMode val="edge"/>
          <c:x val="0.11808118081180811"/>
          <c:y val="0.22701213129751285"/>
          <c:w val="0.85055350553505538"/>
          <c:h val="0.49425426054648364"/>
        </c:manualLayout>
      </c:layout>
      <c:barChart>
        <c:barDir val="col"/>
        <c:grouping val="percentStacked"/>
        <c:varyColors val="0"/>
        <c:ser>
          <c:idx val="0"/>
          <c:order val="0"/>
          <c:tx>
            <c:strRef>
              <c:f>'Statistics - Older People'!$B$393</c:f>
              <c:strCache>
                <c:ptCount val="1"/>
                <c:pt idx="0">
                  <c:v>Supported in care homes</c:v>
                </c:pt>
              </c:strCache>
            </c:strRef>
          </c:tx>
          <c:spPr>
            <a:solidFill>
              <a:srgbClr val="0000FF"/>
            </a:solidFill>
            <a:ln w="12700">
              <a:solidFill>
                <a:srgbClr val="000000"/>
              </a:solidFill>
              <a:prstDash val="solid"/>
            </a:ln>
          </c:spPr>
          <c:invertIfNegative val="0"/>
          <c:cat>
            <c:strRef>
              <c:f>'Statistics - Older People'!$A$394:$A$426</c:f>
              <c:strCache>
                <c:ptCount val="33"/>
                <c:pt idx="0">
                  <c:v>Fife</c:v>
                </c:pt>
                <c:pt idx="1">
                  <c:v>Highland</c:v>
                </c:pt>
                <c:pt idx="2">
                  <c:v>East Renfrewshire</c:v>
                </c:pt>
                <c:pt idx="3">
                  <c:v>Aberdeen City</c:v>
                </c:pt>
                <c:pt idx="4">
                  <c:v>Scottish Borders</c:v>
                </c:pt>
                <c:pt idx="5">
                  <c:v>Perth &amp; Kinross</c:v>
                </c:pt>
                <c:pt idx="6">
                  <c:v>Falkirk</c:v>
                </c:pt>
                <c:pt idx="7">
                  <c:v>Aberdeenshire</c:v>
                </c:pt>
                <c:pt idx="8">
                  <c:v>Dundee City</c:v>
                </c:pt>
                <c:pt idx="9">
                  <c:v>East Ayrshire</c:v>
                </c:pt>
                <c:pt idx="10">
                  <c:v>Renfrewshire</c:v>
                </c:pt>
                <c:pt idx="11">
                  <c:v>Midlothian</c:v>
                </c:pt>
                <c:pt idx="12">
                  <c:v>South Ayrshire</c:v>
                </c:pt>
                <c:pt idx="13">
                  <c:v>Angus</c:v>
                </c:pt>
                <c:pt idx="14">
                  <c:v>Inverclyde</c:v>
                </c:pt>
                <c:pt idx="15">
                  <c:v>Scotland</c:v>
                </c:pt>
                <c:pt idx="16">
                  <c:v>South Lanarkshire</c:v>
                </c:pt>
                <c:pt idx="17">
                  <c:v>Edinburgh</c:v>
                </c:pt>
                <c:pt idx="18">
                  <c:v>West Dunbartonshire</c:v>
                </c:pt>
                <c:pt idx="19">
                  <c:v>Orkney Islands</c:v>
                </c:pt>
                <c:pt idx="20">
                  <c:v>East Lothian</c:v>
                </c:pt>
                <c:pt idx="21">
                  <c:v>North Ayrshire</c:v>
                </c:pt>
                <c:pt idx="22">
                  <c:v>West Lothian</c:v>
                </c:pt>
                <c:pt idx="23">
                  <c:v>Glasgow City</c:v>
                </c:pt>
                <c:pt idx="24">
                  <c:v>Stirling</c:v>
                </c:pt>
                <c:pt idx="25">
                  <c:v>Moray</c:v>
                </c:pt>
                <c:pt idx="26">
                  <c:v>Shetland Islands</c:v>
                </c:pt>
                <c:pt idx="27">
                  <c:v>Eilean Siar</c:v>
                </c:pt>
                <c:pt idx="28">
                  <c:v>Clackmannanshire</c:v>
                </c:pt>
                <c:pt idx="29">
                  <c:v>East Dunbartonshire</c:v>
                </c:pt>
                <c:pt idx="30">
                  <c:v>Argyll &amp; Bute</c:v>
                </c:pt>
                <c:pt idx="31">
                  <c:v>North Lanarkshire</c:v>
                </c:pt>
                <c:pt idx="32">
                  <c:v>Dumfries &amp; Galloway</c:v>
                </c:pt>
              </c:strCache>
            </c:strRef>
          </c:cat>
          <c:val>
            <c:numRef>
              <c:f>'Statistics - Older People'!$B$394:$B$426</c:f>
              <c:numCache>
                <c:formatCode>0.0</c:formatCode>
                <c:ptCount val="33"/>
                <c:pt idx="0">
                  <c:v>31.099165529178336</c:v>
                </c:pt>
                <c:pt idx="1">
                  <c:v>32.489846922836612</c:v>
                </c:pt>
                <c:pt idx="2">
                  <c:v>32.223415682062303</c:v>
                </c:pt>
                <c:pt idx="3">
                  <c:v>39.403403286535706</c:v>
                </c:pt>
                <c:pt idx="4">
                  <c:v>24.685731647107971</c:v>
                </c:pt>
                <c:pt idx="5">
                  <c:v>24.295731332267192</c:v>
                </c:pt>
                <c:pt idx="6">
                  <c:v>30.757125996924287</c:v>
                </c:pt>
                <c:pt idx="7">
                  <c:v>30.794094522582338</c:v>
                </c:pt>
                <c:pt idx="8">
                  <c:v>40.703985113971157</c:v>
                </c:pt>
                <c:pt idx="9">
                  <c:v>31.027795733678087</c:v>
                </c:pt>
                <c:pt idx="10">
                  <c:v>31.180120311171304</c:v>
                </c:pt>
                <c:pt idx="11">
                  <c:v>26.260167808877217</c:v>
                </c:pt>
                <c:pt idx="12">
                  <c:v>34.121929026387626</c:v>
                </c:pt>
                <c:pt idx="13">
                  <c:v>27.698669683610969</c:v>
                </c:pt>
                <c:pt idx="14">
                  <c:v>43.336944745395449</c:v>
                </c:pt>
                <c:pt idx="15">
                  <c:v>31.24777336380318</c:v>
                </c:pt>
                <c:pt idx="16">
                  <c:v>29.336203305096515</c:v>
                </c:pt>
                <c:pt idx="17">
                  <c:v>35.090571610508199</c:v>
                </c:pt>
                <c:pt idx="18">
                  <c:v>34.305317324185253</c:v>
                </c:pt>
                <c:pt idx="19">
                  <c:v>21.199915200339198</c:v>
                </c:pt>
                <c:pt idx="20">
                  <c:v>29.236766516208451</c:v>
                </c:pt>
                <c:pt idx="21">
                  <c:v>32.292032292032296</c:v>
                </c:pt>
                <c:pt idx="22">
                  <c:v>25.064504238849985</c:v>
                </c:pt>
                <c:pt idx="23">
                  <c:v>42.737600708701954</c:v>
                </c:pt>
                <c:pt idx="24">
                  <c:v>26.072529035316428</c:v>
                </c:pt>
                <c:pt idx="25">
                  <c:v>25.789473684210524</c:v>
                </c:pt>
                <c:pt idx="26">
                  <c:v>23.629489603024574</c:v>
                </c:pt>
                <c:pt idx="27">
                  <c:v>27.924294135898233</c:v>
                </c:pt>
                <c:pt idx="28">
                  <c:v>21.438525029477972</c:v>
                </c:pt>
                <c:pt idx="29">
                  <c:v>28.288543140028288</c:v>
                </c:pt>
                <c:pt idx="30">
                  <c:v>24.156877605153465</c:v>
                </c:pt>
                <c:pt idx="31">
                  <c:v>23.54358300481822</c:v>
                </c:pt>
                <c:pt idx="32">
                  <c:v>25.723472668810288</c:v>
                </c:pt>
              </c:numCache>
            </c:numRef>
          </c:val>
        </c:ser>
        <c:ser>
          <c:idx val="1"/>
          <c:order val="1"/>
          <c:tx>
            <c:strRef>
              <c:f>'Statistics - Older People'!$C$393</c:f>
              <c:strCache>
                <c:ptCount val="1"/>
                <c:pt idx="0">
                  <c:v>Intensive Home care (10+ hours per week)</c:v>
                </c:pt>
              </c:strCache>
            </c:strRef>
          </c:tx>
          <c:spPr>
            <a:solidFill>
              <a:srgbClr val="FF0000"/>
            </a:solidFill>
            <a:ln w="12700">
              <a:solidFill>
                <a:srgbClr val="000000"/>
              </a:solidFill>
              <a:prstDash val="solid"/>
            </a:ln>
          </c:spPr>
          <c:invertIfNegative val="0"/>
          <c:cat>
            <c:strRef>
              <c:f>'Statistics - Older People'!$A$394:$A$426</c:f>
              <c:strCache>
                <c:ptCount val="33"/>
                <c:pt idx="0">
                  <c:v>Fife</c:v>
                </c:pt>
                <c:pt idx="1">
                  <c:v>Highland</c:v>
                </c:pt>
                <c:pt idx="2">
                  <c:v>East Renfrewshire</c:v>
                </c:pt>
                <c:pt idx="3">
                  <c:v>Aberdeen City</c:v>
                </c:pt>
                <c:pt idx="4">
                  <c:v>Scottish Borders</c:v>
                </c:pt>
                <c:pt idx="5">
                  <c:v>Perth &amp; Kinross</c:v>
                </c:pt>
                <c:pt idx="6">
                  <c:v>Falkirk</c:v>
                </c:pt>
                <c:pt idx="7">
                  <c:v>Aberdeenshire</c:v>
                </c:pt>
                <c:pt idx="8">
                  <c:v>Dundee City</c:v>
                </c:pt>
                <c:pt idx="9">
                  <c:v>East Ayrshire</c:v>
                </c:pt>
                <c:pt idx="10">
                  <c:v>Renfrewshire</c:v>
                </c:pt>
                <c:pt idx="11">
                  <c:v>Midlothian</c:v>
                </c:pt>
                <c:pt idx="12">
                  <c:v>South Ayrshire</c:v>
                </c:pt>
                <c:pt idx="13">
                  <c:v>Angus</c:v>
                </c:pt>
                <c:pt idx="14">
                  <c:v>Inverclyde</c:v>
                </c:pt>
                <c:pt idx="15">
                  <c:v>Scotland</c:v>
                </c:pt>
                <c:pt idx="16">
                  <c:v>South Lanarkshire</c:v>
                </c:pt>
                <c:pt idx="17">
                  <c:v>Edinburgh</c:v>
                </c:pt>
                <c:pt idx="18">
                  <c:v>West Dunbartonshire</c:v>
                </c:pt>
                <c:pt idx="19">
                  <c:v>Orkney Islands</c:v>
                </c:pt>
                <c:pt idx="20">
                  <c:v>East Lothian</c:v>
                </c:pt>
                <c:pt idx="21">
                  <c:v>North Ayrshire</c:v>
                </c:pt>
                <c:pt idx="22">
                  <c:v>West Lothian</c:v>
                </c:pt>
                <c:pt idx="23">
                  <c:v>Glasgow City</c:v>
                </c:pt>
                <c:pt idx="24">
                  <c:v>Stirling</c:v>
                </c:pt>
                <c:pt idx="25">
                  <c:v>Moray</c:v>
                </c:pt>
                <c:pt idx="26">
                  <c:v>Shetland Islands</c:v>
                </c:pt>
                <c:pt idx="27">
                  <c:v>Eilean Siar</c:v>
                </c:pt>
                <c:pt idx="28">
                  <c:v>Clackmannanshire</c:v>
                </c:pt>
                <c:pt idx="29">
                  <c:v>East Dunbartonshire</c:v>
                </c:pt>
                <c:pt idx="30">
                  <c:v>Argyll &amp; Bute</c:v>
                </c:pt>
                <c:pt idx="31">
                  <c:v>North Lanarkshire</c:v>
                </c:pt>
                <c:pt idx="32">
                  <c:v>Dumfries &amp; Galloway</c:v>
                </c:pt>
              </c:strCache>
            </c:strRef>
          </c:cat>
          <c:val>
            <c:numRef>
              <c:f>'Statistics - Older People'!$C$394:$C$426</c:f>
              <c:numCache>
                <c:formatCode>0.0</c:formatCode>
                <c:ptCount val="33"/>
                <c:pt idx="0">
                  <c:v>8.1195558870298186</c:v>
                </c:pt>
                <c:pt idx="1">
                  <c:v>9.0180152035822143</c:v>
                </c:pt>
                <c:pt idx="2">
                  <c:v>9.6670247046186901</c:v>
                </c:pt>
                <c:pt idx="3">
                  <c:v>13.163655468316744</c:v>
                </c:pt>
                <c:pt idx="4">
                  <c:v>8.6210170521438609</c:v>
                </c:pt>
                <c:pt idx="5">
                  <c:v>9.0417025464386764</c:v>
                </c:pt>
                <c:pt idx="6">
                  <c:v>12.660491398733951</c:v>
                </c:pt>
                <c:pt idx="7">
                  <c:v>12.688914125971872</c:v>
                </c:pt>
                <c:pt idx="8">
                  <c:v>18.064816250581487</c:v>
                </c:pt>
                <c:pt idx="9">
                  <c:v>14.005602240896359</c:v>
                </c:pt>
                <c:pt idx="10">
                  <c:v>14.645208024944097</c:v>
                </c:pt>
                <c:pt idx="11">
                  <c:v>12.553641196438864</c:v>
                </c:pt>
                <c:pt idx="12">
                  <c:v>16.56809220503488</c:v>
                </c:pt>
                <c:pt idx="13">
                  <c:v>15.175750009753052</c:v>
                </c:pt>
                <c:pt idx="14">
                  <c:v>24.026512013256006</c:v>
                </c:pt>
                <c:pt idx="15">
                  <c:v>17.355628781409123</c:v>
                </c:pt>
                <c:pt idx="16">
                  <c:v>17.445493681433135</c:v>
                </c:pt>
                <c:pt idx="17">
                  <c:v>21.62337926269154</c:v>
                </c:pt>
                <c:pt idx="18">
                  <c:v>22.806683184041674</c:v>
                </c:pt>
                <c:pt idx="19">
                  <c:v>14.839940640237439</c:v>
                </c:pt>
                <c:pt idx="20">
                  <c:v>20.876077144029544</c:v>
                </c:pt>
                <c:pt idx="21">
                  <c:v>23.376623376623378</c:v>
                </c:pt>
                <c:pt idx="22">
                  <c:v>18.356063398451898</c:v>
                </c:pt>
                <c:pt idx="23">
                  <c:v>31.340907186381433</c:v>
                </c:pt>
                <c:pt idx="24">
                  <c:v>19.198862289642097</c:v>
                </c:pt>
                <c:pt idx="25">
                  <c:v>19.684210526315791</c:v>
                </c:pt>
                <c:pt idx="26">
                  <c:v>18.431001890359166</c:v>
                </c:pt>
                <c:pt idx="27">
                  <c:v>21.874030406453613</c:v>
                </c:pt>
                <c:pt idx="28">
                  <c:v>19.723443027119735</c:v>
                </c:pt>
                <c:pt idx="29">
                  <c:v>28.376944837340879</c:v>
                </c:pt>
                <c:pt idx="30">
                  <c:v>24.29897688518378</c:v>
                </c:pt>
                <c:pt idx="31">
                  <c:v>24.985399328369105</c:v>
                </c:pt>
                <c:pt idx="32">
                  <c:v>27.401090451558787</c:v>
                </c:pt>
              </c:numCache>
            </c:numRef>
          </c:val>
        </c:ser>
        <c:dLbls>
          <c:showLegendKey val="0"/>
          <c:showVal val="0"/>
          <c:showCatName val="0"/>
          <c:showSerName val="0"/>
          <c:showPercent val="0"/>
          <c:showBubbleSize val="0"/>
        </c:dLbls>
        <c:gapWidth val="150"/>
        <c:overlap val="100"/>
        <c:axId val="345518464"/>
        <c:axId val="345520000"/>
      </c:barChart>
      <c:lineChart>
        <c:grouping val="standard"/>
        <c:varyColors val="0"/>
        <c:ser>
          <c:idx val="2"/>
          <c:order val="2"/>
          <c:tx>
            <c:strRef>
              <c:f>'Statistics - Older People'!$F$393</c:f>
              <c:strCache>
                <c:ptCount val="1"/>
                <c:pt idx="0">
                  <c:v>Highlight</c:v>
                </c:pt>
              </c:strCache>
            </c:strRef>
          </c:tx>
          <c:spPr>
            <a:ln w="28575">
              <a:noFill/>
            </a:ln>
          </c:spPr>
          <c:marker>
            <c:symbol val="none"/>
          </c:marker>
          <c:val>
            <c:numRef>
              <c:f>'Statistics - Older People'!$F$394:$F$426</c:f>
              <c:numCache>
                <c:formatCode>0</c:formatCode>
                <c:ptCount val="33"/>
                <c:pt idx="0">
                  <c:v>#N/A</c:v>
                </c:pt>
                <c:pt idx="1">
                  <c:v>#N/A</c:v>
                </c:pt>
                <c:pt idx="2">
                  <c:v>#N/A</c:v>
                </c:pt>
                <c:pt idx="3">
                  <c:v>0</c:v>
                </c:pt>
                <c:pt idx="4">
                  <c:v>#N/A</c:v>
                </c:pt>
                <c:pt idx="5">
                  <c:v>#N/A</c:v>
                </c:pt>
                <c:pt idx="6">
                  <c:v>#N/A</c:v>
                </c:pt>
                <c:pt idx="7">
                  <c:v>#N/A</c:v>
                </c:pt>
                <c:pt idx="8">
                  <c:v>#N/A</c:v>
                </c:pt>
                <c:pt idx="9">
                  <c:v>#N/A</c:v>
                </c:pt>
                <c:pt idx="10">
                  <c:v>#N/A</c:v>
                </c:pt>
                <c:pt idx="11">
                  <c:v>#N/A</c:v>
                </c:pt>
                <c:pt idx="12">
                  <c:v>#N/A</c:v>
                </c:pt>
                <c:pt idx="13">
                  <c:v>#N/A</c:v>
                </c:pt>
                <c:pt idx="14">
                  <c:v>#N/A</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3"/>
          <c:order val="3"/>
          <c:tx>
            <c:strRef>
              <c:f>'Statistics - Older People'!$G$393</c:f>
              <c:strCache>
                <c:ptCount val="1"/>
                <c:pt idx="0">
                  <c:v>Don't</c:v>
                </c:pt>
              </c:strCache>
            </c:strRef>
          </c:tx>
          <c:spPr>
            <a:ln w="28575">
              <a:noFill/>
            </a:ln>
          </c:spPr>
          <c:marker>
            <c:symbol val="none"/>
          </c:marker>
          <c:val>
            <c:numRef>
              <c:f>'Statistics - Older People'!$G$394:$G$426</c:f>
              <c:numCache>
                <c:formatCode>0</c:formatCode>
                <c:ptCount val="33"/>
                <c:pt idx="0">
                  <c:v>0</c:v>
                </c:pt>
                <c:pt idx="1">
                  <c:v>0</c:v>
                </c:pt>
                <c:pt idx="2">
                  <c:v>0</c:v>
                </c:pt>
                <c:pt idx="3">
                  <c:v>#N/A</c:v>
                </c:pt>
                <c:pt idx="4">
                  <c:v>0</c:v>
                </c:pt>
                <c:pt idx="5">
                  <c:v>0</c:v>
                </c:pt>
                <c:pt idx="6">
                  <c:v>0</c:v>
                </c:pt>
                <c:pt idx="7">
                  <c:v>0</c:v>
                </c:pt>
                <c:pt idx="8">
                  <c:v>0</c:v>
                </c:pt>
                <c:pt idx="9">
                  <c:v>0</c:v>
                </c:pt>
                <c:pt idx="10">
                  <c:v>0</c:v>
                </c:pt>
                <c:pt idx="11">
                  <c:v>0</c:v>
                </c:pt>
                <c:pt idx="12">
                  <c:v>0</c:v>
                </c:pt>
                <c:pt idx="13">
                  <c:v>0</c:v>
                </c:pt>
                <c:pt idx="14">
                  <c:v>0</c:v>
                </c:pt>
                <c:pt idx="15">
                  <c:v>#N/A</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45518464"/>
        <c:axId val="345520000"/>
      </c:lineChart>
      <c:catAx>
        <c:axId val="345518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520000"/>
        <c:crosses val="autoZero"/>
        <c:auto val="0"/>
        <c:lblAlgn val="ctr"/>
        <c:lblOffset val="100"/>
        <c:tickLblSkip val="1"/>
        <c:tickMarkSkip val="1"/>
        <c:noMultiLvlLbl val="0"/>
      </c:catAx>
      <c:valAx>
        <c:axId val="3455200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518464"/>
        <c:crosses val="autoZero"/>
        <c:crossBetween val="between"/>
      </c:valAx>
      <c:spPr>
        <a:noFill/>
        <a:ln w="25400">
          <a:noFill/>
        </a:ln>
      </c:spPr>
    </c:plotArea>
    <c:legend>
      <c:legendPos val="b"/>
      <c:legendEntry>
        <c:idx val="2"/>
        <c:delete val="1"/>
      </c:legendEntry>
      <c:legendEntry>
        <c:idx val="3"/>
        <c:delete val="1"/>
      </c:legendEntry>
      <c:layout>
        <c:manualLayout>
          <c:xMode val="edge"/>
          <c:yMode val="edge"/>
          <c:x val="9.5940959409594101E-2"/>
          <c:y val="0.14942570667684391"/>
          <c:w val="0.86346863468634683"/>
          <c:h val="6.034499692718695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Mental health - Movement in spend (gross)</a:t>
            </a:r>
          </a:p>
        </c:rich>
      </c:tx>
      <c:layout>
        <c:manualLayout>
          <c:xMode val="edge"/>
          <c:yMode val="edge"/>
          <c:x val="0.218114799447998"/>
          <c:y val="3.8314319602788263E-2"/>
        </c:manualLayout>
      </c:layout>
      <c:overlay val="0"/>
      <c:spPr>
        <a:noFill/>
        <a:ln w="25400">
          <a:noFill/>
        </a:ln>
      </c:spPr>
    </c:title>
    <c:autoTitleDeleted val="0"/>
    <c:plotArea>
      <c:layout>
        <c:manualLayout>
          <c:layoutTarget val="inner"/>
          <c:xMode val="edge"/>
          <c:yMode val="edge"/>
          <c:x val="0.10536053871640581"/>
          <c:y val="0.15325727841115305"/>
          <c:w val="0.83549058771606011"/>
          <c:h val="0.73180350441325581"/>
        </c:manualLayout>
      </c:layout>
      <c:lineChart>
        <c:grouping val="standard"/>
        <c:varyColors val="0"/>
        <c:ser>
          <c:idx val="1"/>
          <c:order val="0"/>
          <c:tx>
            <c:strRef>
              <c:f>Scotland!$L$803</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Scotland!$M$801:$R$801</c:f>
              <c:strCache>
                <c:ptCount val="6"/>
                <c:pt idx="0">
                  <c:v>2003/04 (base)</c:v>
                </c:pt>
                <c:pt idx="1">
                  <c:v>2004/05</c:v>
                </c:pt>
                <c:pt idx="2">
                  <c:v>2005/06</c:v>
                </c:pt>
                <c:pt idx="3">
                  <c:v>2006/07</c:v>
                </c:pt>
                <c:pt idx="4">
                  <c:v>2007/08</c:v>
                </c:pt>
                <c:pt idx="5">
                  <c:v>2008/09</c:v>
                </c:pt>
              </c:strCache>
            </c:strRef>
          </c:cat>
          <c:val>
            <c:numRef>
              <c:f>Scotland!$M$803:$R$803</c:f>
              <c:numCache>
                <c:formatCode>0%</c:formatCode>
                <c:ptCount val="6"/>
                <c:pt idx="0">
                  <c:v>0</c:v>
                </c:pt>
                <c:pt idx="1">
                  <c:v>-0.14095755000642596</c:v>
                </c:pt>
                <c:pt idx="2">
                  <c:v>-9.1685981601671185E-2</c:v>
                </c:pt>
                <c:pt idx="3">
                  <c:v>-8.962093174353325E-2</c:v>
                </c:pt>
                <c:pt idx="4">
                  <c:v>-8.3872979675720272E-2</c:v>
                </c:pt>
                <c:pt idx="5">
                  <c:v>-8.0048350493900466E-2</c:v>
                </c:pt>
              </c:numCache>
            </c:numRef>
          </c:val>
          <c:smooth val="0"/>
        </c:ser>
        <c:dLbls>
          <c:showLegendKey val="0"/>
          <c:showVal val="0"/>
          <c:showCatName val="0"/>
          <c:showSerName val="0"/>
          <c:showPercent val="0"/>
          <c:showBubbleSize val="0"/>
        </c:dLbls>
        <c:marker val="1"/>
        <c:smooth val="0"/>
        <c:axId val="345540864"/>
        <c:axId val="345559424"/>
      </c:lineChart>
      <c:catAx>
        <c:axId val="34554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559424"/>
        <c:crosses val="autoZero"/>
        <c:auto val="1"/>
        <c:lblAlgn val="ctr"/>
        <c:lblOffset val="100"/>
        <c:tickLblSkip val="1"/>
        <c:tickMarkSkip val="1"/>
        <c:noMultiLvlLbl val="0"/>
      </c:catAx>
      <c:valAx>
        <c:axId val="34555942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Change</a:t>
                </a:r>
              </a:p>
            </c:rich>
          </c:tx>
          <c:layout>
            <c:manualLayout>
              <c:xMode val="edge"/>
              <c:yMode val="edge"/>
              <c:x val="9.242152518982966E-3"/>
              <c:y val="0.2682002372195178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540864"/>
        <c:crosses val="autoZero"/>
        <c:crossBetween val="between"/>
      </c:valAx>
      <c:spPr>
        <a:noFill/>
        <a:ln w="25400">
          <a:noFill/>
        </a:ln>
      </c:spPr>
    </c:plotArea>
    <c:legend>
      <c:legendPos val="r"/>
      <c:layout>
        <c:manualLayout>
          <c:xMode val="edge"/>
          <c:yMode val="edge"/>
          <c:x val="0.43068430738460622"/>
          <c:y val="0.89655507870524542"/>
          <c:w val="0.17005560634928657"/>
          <c:h val="9.195436704669184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Mental health services 
(per head of population aged 18-64)</a:t>
            </a:r>
          </a:p>
        </c:rich>
      </c:tx>
      <c:layout>
        <c:manualLayout>
          <c:xMode val="edge"/>
          <c:yMode val="edge"/>
          <c:x val="0.18416239382336597"/>
          <c:y val="3.5483926858503746E-2"/>
        </c:manualLayout>
      </c:layout>
      <c:overlay val="0"/>
      <c:spPr>
        <a:noFill/>
        <a:ln w="25400">
          <a:noFill/>
        </a:ln>
      </c:spPr>
    </c:title>
    <c:autoTitleDeleted val="0"/>
    <c:plotArea>
      <c:layout>
        <c:manualLayout>
          <c:layoutTarget val="inner"/>
          <c:xMode val="edge"/>
          <c:yMode val="edge"/>
          <c:x val="0.12891367567635617"/>
          <c:y val="0.19677450348806624"/>
          <c:w val="0.82136427645221222"/>
          <c:h val="0.61613000272492868"/>
        </c:manualLayout>
      </c:layout>
      <c:lineChart>
        <c:grouping val="standard"/>
        <c:varyColors val="0"/>
        <c:ser>
          <c:idx val="0"/>
          <c:order val="0"/>
          <c:tx>
            <c:strRef>
              <c:f>Scotland!$K$833</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Scotland!$L$832:$Q$832</c:f>
              <c:strCache>
                <c:ptCount val="6"/>
                <c:pt idx="0">
                  <c:v>2003/04</c:v>
                </c:pt>
                <c:pt idx="1">
                  <c:v>2004/05</c:v>
                </c:pt>
                <c:pt idx="2">
                  <c:v>2005/06</c:v>
                </c:pt>
                <c:pt idx="3">
                  <c:v>2006/07</c:v>
                </c:pt>
                <c:pt idx="4">
                  <c:v>2007/08</c:v>
                </c:pt>
                <c:pt idx="5">
                  <c:v>2008/09</c:v>
                </c:pt>
              </c:strCache>
            </c:strRef>
          </c:cat>
          <c:val>
            <c:numRef>
              <c:f>Scotland!$L$833:$Q$833</c:f>
              <c:numCache>
                <c:formatCode>0.0</c:formatCode>
                <c:ptCount val="6"/>
                <c:pt idx="0">
                  <c:v>#N/A</c:v>
                </c:pt>
                <c:pt idx="1">
                  <c:v>#N/A</c:v>
                </c:pt>
                <c:pt idx="2">
                  <c:v>#N/A</c:v>
                </c:pt>
                <c:pt idx="3">
                  <c:v>#N/A</c:v>
                </c:pt>
                <c:pt idx="4">
                  <c:v>#N/A</c:v>
                </c:pt>
                <c:pt idx="5">
                  <c:v>#N/A</c:v>
                </c:pt>
              </c:numCache>
            </c:numRef>
          </c:val>
          <c:smooth val="0"/>
        </c:ser>
        <c:ser>
          <c:idx val="1"/>
          <c:order val="1"/>
          <c:tx>
            <c:strRef>
              <c:f>Scotland!$K$834</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Scotland!$L$832:$Q$832</c:f>
              <c:strCache>
                <c:ptCount val="6"/>
                <c:pt idx="0">
                  <c:v>2003/04</c:v>
                </c:pt>
                <c:pt idx="1">
                  <c:v>2004/05</c:v>
                </c:pt>
                <c:pt idx="2">
                  <c:v>2005/06</c:v>
                </c:pt>
                <c:pt idx="3">
                  <c:v>2006/07</c:v>
                </c:pt>
                <c:pt idx="4">
                  <c:v>2007/08</c:v>
                </c:pt>
                <c:pt idx="5">
                  <c:v>2008/09</c:v>
                </c:pt>
              </c:strCache>
            </c:strRef>
          </c:cat>
          <c:val>
            <c:numRef>
              <c:f>Scotland!$L$834:$Q$834</c:f>
              <c:numCache>
                <c:formatCode>0.0</c:formatCode>
                <c:ptCount val="6"/>
                <c:pt idx="0">
                  <c:v>47.411239852151709</c:v>
                </c:pt>
                <c:pt idx="1">
                  <c:v>50.753150643497669</c:v>
                </c:pt>
                <c:pt idx="2">
                  <c:v>54.586411542006886</c:v>
                </c:pt>
                <c:pt idx="3">
                  <c:v>46.513523487309016</c:v>
                </c:pt>
                <c:pt idx="4">
                  <c:v>48.841946041276437</c:v>
                </c:pt>
                <c:pt idx="5">
                  <c:v>48.726917307872704</c:v>
                </c:pt>
              </c:numCache>
            </c:numRef>
          </c:val>
          <c:smooth val="0"/>
        </c:ser>
        <c:ser>
          <c:idx val="2"/>
          <c:order val="2"/>
          <c:tx>
            <c:strRef>
              <c:f>Scotland!$K$835</c:f>
              <c:strCache>
                <c:ptCount val="1"/>
                <c:pt idx="0">
                  <c:v>Min</c:v>
                </c:pt>
              </c:strCache>
            </c:strRef>
          </c:tx>
          <c:spPr>
            <a:ln w="25400">
              <a:solidFill>
                <a:srgbClr val="000000"/>
              </a:solidFill>
              <a:prstDash val="sysDash"/>
            </a:ln>
          </c:spPr>
          <c:marker>
            <c:symbol val="none"/>
          </c:marker>
          <c:val>
            <c:numRef>
              <c:f>Scotland!$L$835:$Q$835</c:f>
              <c:numCache>
                <c:formatCode>0.0</c:formatCode>
                <c:ptCount val="6"/>
                <c:pt idx="0">
                  <c:v>15.602084117551474</c:v>
                </c:pt>
                <c:pt idx="1">
                  <c:v>15.626691482612115</c:v>
                </c:pt>
                <c:pt idx="2">
                  <c:v>15.793776601525972</c:v>
                </c:pt>
                <c:pt idx="3">
                  <c:v>18.507233087862119</c:v>
                </c:pt>
                <c:pt idx="4">
                  <c:v>20.815739363998045</c:v>
                </c:pt>
                <c:pt idx="5">
                  <c:v>28.658018137814704</c:v>
                </c:pt>
              </c:numCache>
            </c:numRef>
          </c:val>
          <c:smooth val="0"/>
        </c:ser>
        <c:ser>
          <c:idx val="3"/>
          <c:order val="3"/>
          <c:tx>
            <c:strRef>
              <c:f>Scotland!$K$836</c:f>
              <c:strCache>
                <c:ptCount val="1"/>
                <c:pt idx="0">
                  <c:v>Max</c:v>
                </c:pt>
              </c:strCache>
            </c:strRef>
          </c:tx>
          <c:spPr>
            <a:ln w="25400">
              <a:solidFill>
                <a:srgbClr val="000000"/>
              </a:solidFill>
              <a:prstDash val="sysDash"/>
            </a:ln>
          </c:spPr>
          <c:marker>
            <c:symbol val="none"/>
          </c:marker>
          <c:val>
            <c:numRef>
              <c:f>Scotland!$L$836:$Q$836</c:f>
              <c:numCache>
                <c:formatCode>0.0</c:formatCode>
                <c:ptCount val="6"/>
                <c:pt idx="0">
                  <c:v>121.28867087579381</c:v>
                </c:pt>
                <c:pt idx="1">
                  <c:v>129.32786518961635</c:v>
                </c:pt>
                <c:pt idx="2">
                  <c:v>143.38356897061681</c:v>
                </c:pt>
                <c:pt idx="3">
                  <c:v>101.99885278903001</c:v>
                </c:pt>
                <c:pt idx="4">
                  <c:v>92.48927433522816</c:v>
                </c:pt>
                <c:pt idx="5">
                  <c:v>105.91489377304443</c:v>
                </c:pt>
              </c:numCache>
            </c:numRef>
          </c:val>
          <c:smooth val="0"/>
        </c:ser>
        <c:dLbls>
          <c:showLegendKey val="0"/>
          <c:showVal val="0"/>
          <c:showCatName val="0"/>
          <c:showSerName val="0"/>
          <c:showPercent val="0"/>
          <c:showBubbleSize val="0"/>
        </c:dLbls>
        <c:marker val="1"/>
        <c:smooth val="0"/>
        <c:axId val="345598976"/>
        <c:axId val="345608960"/>
      </c:lineChart>
      <c:catAx>
        <c:axId val="345598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608960"/>
        <c:crosses val="autoZero"/>
        <c:auto val="1"/>
        <c:lblAlgn val="ctr"/>
        <c:lblOffset val="100"/>
        <c:tickLblSkip val="1"/>
        <c:tickMarkSkip val="1"/>
        <c:noMultiLvlLbl val="0"/>
      </c:catAx>
      <c:valAx>
        <c:axId val="345608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18-64 (£)</a:t>
                </a:r>
              </a:p>
            </c:rich>
          </c:tx>
          <c:layout>
            <c:manualLayout>
              <c:xMode val="edge"/>
              <c:yMode val="edge"/>
              <c:x val="9.2081196911682987E-3"/>
              <c:y val="0.132258272836241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598976"/>
        <c:crosses val="autoZero"/>
        <c:crossBetween val="between"/>
      </c:valAx>
      <c:spPr>
        <a:noFill/>
        <a:ln w="25400">
          <a:noFill/>
        </a:ln>
      </c:spPr>
    </c:plotArea>
    <c:legend>
      <c:legendPos val="r"/>
      <c:legendEntry>
        <c:idx val="0"/>
        <c:delete val="1"/>
      </c:legendEntry>
      <c:layout>
        <c:manualLayout>
          <c:xMode val="edge"/>
          <c:yMode val="edge"/>
          <c:x val="0.15469641081162741"/>
          <c:y val="0.90322722912554987"/>
          <c:w val="0.7937399173787073"/>
          <c:h val="8.064528831478123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Mental health services, 2008/09
(per head of population aged 18-64)</a:t>
            </a:r>
          </a:p>
        </c:rich>
      </c:tx>
      <c:layout>
        <c:manualLayout>
          <c:xMode val="edge"/>
          <c:yMode val="edge"/>
          <c:x val="0.14285739836845804"/>
          <c:y val="2.2012646216115789E-2"/>
        </c:manualLayout>
      </c:layout>
      <c:overlay val="0"/>
      <c:spPr>
        <a:noFill/>
        <a:ln w="25400">
          <a:noFill/>
        </a:ln>
      </c:spPr>
    </c:title>
    <c:autoTitleDeleted val="0"/>
    <c:plotArea>
      <c:layout>
        <c:manualLayout>
          <c:layoutTarget val="inner"/>
          <c:xMode val="edge"/>
          <c:yMode val="edge"/>
          <c:x val="0.10622729622269958"/>
          <c:y val="0.21383713467083909"/>
          <c:w val="0.86080740042532411"/>
          <c:h val="0.52201418169646008"/>
        </c:manualLayout>
      </c:layout>
      <c:barChart>
        <c:barDir val="col"/>
        <c:grouping val="clustered"/>
        <c:varyColors val="0"/>
        <c:ser>
          <c:idx val="1"/>
          <c:order val="0"/>
          <c:tx>
            <c:strRef>
              <c:f>'Per Capita Data - MH'!$E$2</c:f>
              <c:strCache>
                <c:ptCount val="1"/>
                <c:pt idx="0">
                  <c:v>Average Spend per Capita</c:v>
                </c:pt>
              </c:strCache>
            </c:strRef>
          </c:tx>
          <c:spPr>
            <a:solidFill>
              <a:srgbClr val="0000FF"/>
            </a:solidFill>
            <a:ln w="12700">
              <a:solidFill>
                <a:srgbClr val="000000"/>
              </a:solidFill>
              <a:prstDash val="solid"/>
            </a:ln>
          </c:spPr>
          <c:invertIfNegative val="0"/>
          <c:cat>
            <c:strRef>
              <c:f>'Per Capita Data - MH'!$B$3:$B$34</c:f>
              <c:strCache>
                <c:ptCount val="32"/>
                <c:pt idx="0">
                  <c:v>Shetland Islands</c:v>
                </c:pt>
                <c:pt idx="1">
                  <c:v>Clackmannanshire</c:v>
                </c:pt>
                <c:pt idx="2">
                  <c:v>North Lanarkshire</c:v>
                </c:pt>
                <c:pt idx="3">
                  <c:v>Falkirk</c:v>
                </c:pt>
                <c:pt idx="4">
                  <c:v>Dumfries &amp; Galloway</c:v>
                </c:pt>
                <c:pt idx="5">
                  <c:v>Aberdeen City</c:v>
                </c:pt>
                <c:pt idx="6">
                  <c:v>Inverclyde</c:v>
                </c:pt>
                <c:pt idx="7">
                  <c:v>South Ayrshire</c:v>
                </c:pt>
                <c:pt idx="8">
                  <c:v>Argyll &amp; Bute</c:v>
                </c:pt>
                <c:pt idx="9">
                  <c:v>Glasgow City</c:v>
                </c:pt>
                <c:pt idx="10">
                  <c:v>East Dunbartonshire</c:v>
                </c:pt>
                <c:pt idx="11">
                  <c:v>West Dunbartonshire</c:v>
                </c:pt>
                <c:pt idx="12">
                  <c:v>Dundee City</c:v>
                </c:pt>
                <c:pt idx="13">
                  <c:v>Perth &amp; Kinross</c:v>
                </c:pt>
                <c:pt idx="14">
                  <c:v>Highland</c:v>
                </c:pt>
                <c:pt idx="15">
                  <c:v>Edinburgh</c:v>
                </c:pt>
                <c:pt idx="16">
                  <c:v>East Renfrewshire</c:v>
                </c:pt>
                <c:pt idx="17">
                  <c:v>Fife</c:v>
                </c:pt>
                <c:pt idx="18">
                  <c:v>Stirling</c:v>
                </c:pt>
                <c:pt idx="19">
                  <c:v>Renfrewshire</c:v>
                </c:pt>
                <c:pt idx="20">
                  <c:v>East Ayrshire</c:v>
                </c:pt>
                <c:pt idx="21">
                  <c:v>Scottish Borders</c:v>
                </c:pt>
                <c:pt idx="22">
                  <c:v>Eilean Siar</c:v>
                </c:pt>
                <c:pt idx="23">
                  <c:v>Moray</c:v>
                </c:pt>
                <c:pt idx="24">
                  <c:v>Orkney Islands</c:v>
                </c:pt>
                <c:pt idx="25">
                  <c:v>North Ayrshire</c:v>
                </c:pt>
                <c:pt idx="26">
                  <c:v>West Lothian</c:v>
                </c:pt>
                <c:pt idx="27">
                  <c:v>South Lanarkshire</c:v>
                </c:pt>
                <c:pt idx="28">
                  <c:v>East Lothian</c:v>
                </c:pt>
                <c:pt idx="29">
                  <c:v>Midlothian</c:v>
                </c:pt>
                <c:pt idx="30">
                  <c:v>Angus</c:v>
                </c:pt>
                <c:pt idx="31">
                  <c:v>Aberdeenshire</c:v>
                </c:pt>
              </c:strCache>
            </c:strRef>
          </c:cat>
          <c:val>
            <c:numRef>
              <c:f>'Per Capita Data - MH'!$C$3:$C$34</c:f>
              <c:numCache>
                <c:formatCode>#,##0</c:formatCode>
                <c:ptCount val="32"/>
                <c:pt idx="0">
                  <c:v>105.86319218241043</c:v>
                </c:pt>
                <c:pt idx="1">
                  <c:v>66.102607979212223</c:v>
                </c:pt>
                <c:pt idx="2">
                  <c:v>59.01633132507294</c:v>
                </c:pt>
                <c:pt idx="3">
                  <c:v>58.342710997442452</c:v>
                </c:pt>
                <c:pt idx="4">
                  <c:v>57.715338553661908</c:v>
                </c:pt>
                <c:pt idx="5">
                  <c:v>56.599571080381061</c:v>
                </c:pt>
                <c:pt idx="6">
                  <c:v>55.400817289121107</c:v>
                </c:pt>
                <c:pt idx="7">
                  <c:v>54.696300806819913</c:v>
                </c:pt>
                <c:pt idx="8">
                  <c:v>53.767452820925712</c:v>
                </c:pt>
                <c:pt idx="9">
                  <c:v>53.574720243025432</c:v>
                </c:pt>
                <c:pt idx="10">
                  <c:v>50.650977655846113</c:v>
                </c:pt>
                <c:pt idx="11">
                  <c:v>50.528225376160492</c:v>
                </c:pt>
                <c:pt idx="12">
                  <c:v>49.635419398835438</c:v>
                </c:pt>
                <c:pt idx="13">
                  <c:v>48.897454792812198</c:v>
                </c:pt>
                <c:pt idx="14">
                  <c:v>48.301946261129935</c:v>
                </c:pt>
                <c:pt idx="15">
                  <c:v>47.463924186948091</c:v>
                </c:pt>
                <c:pt idx="16">
                  <c:v>47.351643871159048</c:v>
                </c:pt>
                <c:pt idx="17">
                  <c:v>47.096329947059665</c:v>
                </c:pt>
                <c:pt idx="18">
                  <c:v>46.639256030634037</c:v>
                </c:pt>
                <c:pt idx="19">
                  <c:v>45.06582285487606</c:v>
                </c:pt>
                <c:pt idx="20">
                  <c:v>45.007013559548462</c:v>
                </c:pt>
                <c:pt idx="21">
                  <c:v>43.245207595166718</c:v>
                </c:pt>
                <c:pt idx="22">
                  <c:v>42.551842222081298</c:v>
                </c:pt>
                <c:pt idx="23">
                  <c:v>39.433539671622313</c:v>
                </c:pt>
                <c:pt idx="24">
                  <c:v>38.252215829575491</c:v>
                </c:pt>
                <c:pt idx="25">
                  <c:v>38.108723757926491</c:v>
                </c:pt>
                <c:pt idx="26">
                  <c:v>38.047756494358438</c:v>
                </c:pt>
                <c:pt idx="27">
                  <c:v>34.825387247055694</c:v>
                </c:pt>
                <c:pt idx="28">
                  <c:v>34.663402692778455</c:v>
                </c:pt>
                <c:pt idx="29">
                  <c:v>33.173629743196628</c:v>
                </c:pt>
                <c:pt idx="30">
                  <c:v>31.802790589059494</c:v>
                </c:pt>
                <c:pt idx="31">
                  <c:v>31.669625665774795</c:v>
                </c:pt>
              </c:numCache>
            </c:numRef>
          </c:val>
        </c:ser>
        <c:dLbls>
          <c:showLegendKey val="0"/>
          <c:showVal val="0"/>
          <c:showCatName val="0"/>
          <c:showSerName val="0"/>
          <c:showPercent val="0"/>
          <c:showBubbleSize val="0"/>
        </c:dLbls>
        <c:gapWidth val="150"/>
        <c:overlap val="100"/>
        <c:axId val="345628032"/>
        <c:axId val="345642112"/>
      </c:barChart>
      <c:lineChart>
        <c:grouping val="standard"/>
        <c:varyColors val="0"/>
        <c:ser>
          <c:idx val="0"/>
          <c:order val="1"/>
          <c:spPr>
            <a:ln w="25400">
              <a:solidFill>
                <a:srgbClr val="000000"/>
              </a:solidFill>
              <a:prstDash val="solid"/>
            </a:ln>
          </c:spPr>
          <c:marker>
            <c:symbol val="none"/>
          </c:marker>
          <c:val>
            <c:numRef>
              <c:f>'Per Capita Data - MH'!$E$3:$E$34</c:f>
              <c:numCache>
                <c:formatCode>#,##0</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ser>
        <c:dLbls>
          <c:showLegendKey val="0"/>
          <c:showVal val="0"/>
          <c:showCatName val="0"/>
          <c:showSerName val="0"/>
          <c:showPercent val="0"/>
          <c:showBubbleSize val="0"/>
        </c:dLbls>
        <c:marker val="1"/>
        <c:smooth val="0"/>
        <c:axId val="345628032"/>
        <c:axId val="345642112"/>
      </c:lineChart>
      <c:catAx>
        <c:axId val="34562803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642112"/>
        <c:crosses val="autoZero"/>
        <c:auto val="0"/>
        <c:lblAlgn val="ctr"/>
        <c:lblOffset val="100"/>
        <c:tickLblSkip val="1"/>
        <c:tickMarkSkip val="1"/>
        <c:noMultiLvlLbl val="0"/>
      </c:catAx>
      <c:valAx>
        <c:axId val="3456421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18-64 (£)</a:t>
                </a:r>
              </a:p>
            </c:rich>
          </c:tx>
          <c:layout>
            <c:manualLayout>
              <c:xMode val="edge"/>
              <c:yMode val="edge"/>
              <c:x val="9.1575255364396181E-3"/>
              <c:y val="0.113207894825738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62803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Addiction Services - Movement in spend (gross)</a:t>
            </a:r>
          </a:p>
        </c:rich>
      </c:tx>
      <c:layout>
        <c:manualLayout>
          <c:xMode val="edge"/>
          <c:yMode val="edge"/>
          <c:x val="0.16827868891166067"/>
          <c:y val="3.7313500818965756E-2"/>
        </c:manualLayout>
      </c:layout>
      <c:overlay val="0"/>
      <c:spPr>
        <a:noFill/>
        <a:ln w="25400">
          <a:noFill/>
        </a:ln>
      </c:spPr>
    </c:title>
    <c:autoTitleDeleted val="0"/>
    <c:plotArea>
      <c:layout>
        <c:manualLayout>
          <c:layoutTarget val="inner"/>
          <c:xMode val="edge"/>
          <c:yMode val="edge"/>
          <c:x val="0.12572545723284992"/>
          <c:y val="0.15671670343965616"/>
          <c:w val="0.81624835311173338"/>
          <c:h val="0.58955331293965885"/>
        </c:manualLayout>
      </c:layout>
      <c:lineChart>
        <c:grouping val="standard"/>
        <c:varyColors val="0"/>
        <c:ser>
          <c:idx val="1"/>
          <c:order val="0"/>
          <c:tx>
            <c:strRef>
              <c:f>Scotland!$K$879</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Scotland!$L$877:$Q$877</c:f>
              <c:strCache>
                <c:ptCount val="6"/>
                <c:pt idx="0">
                  <c:v>2003/04 (base)</c:v>
                </c:pt>
                <c:pt idx="1">
                  <c:v>2004/05</c:v>
                </c:pt>
                <c:pt idx="2">
                  <c:v>2005/06</c:v>
                </c:pt>
                <c:pt idx="3">
                  <c:v>2006/07</c:v>
                </c:pt>
                <c:pt idx="4">
                  <c:v>2007/08</c:v>
                </c:pt>
                <c:pt idx="5">
                  <c:v>2008/09</c:v>
                </c:pt>
              </c:strCache>
            </c:strRef>
          </c:cat>
          <c:val>
            <c:numRef>
              <c:f>Scotland!$L$879:$Q$879</c:f>
              <c:numCache>
                <c:formatCode>0%</c:formatCode>
                <c:ptCount val="6"/>
                <c:pt idx="0">
                  <c:v>0</c:v>
                </c:pt>
                <c:pt idx="1">
                  <c:v>0.10277068515357279</c:v>
                </c:pt>
                <c:pt idx="2">
                  <c:v>0.20178866192537437</c:v>
                </c:pt>
                <c:pt idx="3">
                  <c:v>0.25676232854006664</c:v>
                </c:pt>
                <c:pt idx="4">
                  <c:v>0.28789763557576942</c:v>
                </c:pt>
                <c:pt idx="5">
                  <c:v>0.39271484331465789</c:v>
                </c:pt>
              </c:numCache>
            </c:numRef>
          </c:val>
          <c:smooth val="0"/>
        </c:ser>
        <c:dLbls>
          <c:showLegendKey val="0"/>
          <c:showVal val="0"/>
          <c:showCatName val="0"/>
          <c:showSerName val="0"/>
          <c:showPercent val="0"/>
          <c:showBubbleSize val="0"/>
        </c:dLbls>
        <c:marker val="1"/>
        <c:smooth val="0"/>
        <c:axId val="345670016"/>
        <c:axId val="345671936"/>
      </c:lineChart>
      <c:catAx>
        <c:axId val="345670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671936"/>
        <c:crosses val="autoZero"/>
        <c:auto val="1"/>
        <c:lblAlgn val="ctr"/>
        <c:lblOffset val="100"/>
        <c:tickLblSkip val="1"/>
        <c:tickMarkSkip val="1"/>
        <c:noMultiLvlLbl val="0"/>
      </c:catAx>
      <c:valAx>
        <c:axId val="3456719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Change</a:t>
                </a:r>
              </a:p>
            </c:rich>
          </c:tx>
          <c:layout>
            <c:manualLayout>
              <c:xMode val="edge"/>
              <c:yMode val="edge"/>
              <c:x val="9.6711890179115335E-3"/>
              <c:y val="0.2089556045862082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670016"/>
        <c:crosses val="autoZero"/>
        <c:crossBetween val="between"/>
      </c:valAx>
      <c:spPr>
        <a:noFill/>
        <a:ln w="25400">
          <a:noFill/>
        </a:ln>
      </c:spPr>
    </c:plotArea>
    <c:legend>
      <c:legendPos val="r"/>
      <c:layout>
        <c:manualLayout>
          <c:xMode val="edge"/>
          <c:yMode val="edge"/>
          <c:x val="0.44100621921676592"/>
          <c:y val="0.85447916875431573"/>
          <c:w val="0.1779498779295722"/>
          <c:h val="8.955240196551780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Addiction services 
(per head of population aged 18-64)</a:t>
            </a:r>
          </a:p>
        </c:rich>
      </c:tx>
      <c:layout>
        <c:manualLayout>
          <c:xMode val="edge"/>
          <c:yMode val="edge"/>
          <c:x val="0.19961612284069097"/>
          <c:y val="3.5598818007995831E-2"/>
        </c:manualLayout>
      </c:layout>
      <c:overlay val="0"/>
      <c:spPr>
        <a:noFill/>
        <a:ln w="25400">
          <a:noFill/>
        </a:ln>
      </c:spPr>
    </c:title>
    <c:autoTitleDeleted val="0"/>
    <c:plotArea>
      <c:layout>
        <c:manualLayout>
          <c:layoutTarget val="inner"/>
          <c:xMode val="edge"/>
          <c:yMode val="edge"/>
          <c:x val="0.1324376199616123"/>
          <c:y val="0.18770285858761437"/>
          <c:w val="0.83109404990403069"/>
          <c:h val="0.63106995559628964"/>
        </c:manualLayout>
      </c:layout>
      <c:lineChart>
        <c:grouping val="standard"/>
        <c:varyColors val="0"/>
        <c:ser>
          <c:idx val="0"/>
          <c:order val="0"/>
          <c:tx>
            <c:strRef>
              <c:f>Scotland!$K$906</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Scotland!$L$905:$Q$905</c:f>
              <c:strCache>
                <c:ptCount val="6"/>
                <c:pt idx="0">
                  <c:v>2003/04</c:v>
                </c:pt>
                <c:pt idx="1">
                  <c:v>2004/05</c:v>
                </c:pt>
                <c:pt idx="2">
                  <c:v>2005/06</c:v>
                </c:pt>
                <c:pt idx="3">
                  <c:v>2006/07</c:v>
                </c:pt>
                <c:pt idx="4">
                  <c:v>2007/08</c:v>
                </c:pt>
                <c:pt idx="5">
                  <c:v>2008/09</c:v>
                </c:pt>
              </c:strCache>
            </c:strRef>
          </c:cat>
          <c:val>
            <c:numRef>
              <c:f>Scotland!$L$906:$Q$906</c:f>
              <c:numCache>
                <c:formatCode>0.0</c:formatCode>
                <c:ptCount val="6"/>
                <c:pt idx="0">
                  <c:v>#N/A</c:v>
                </c:pt>
                <c:pt idx="1">
                  <c:v>#N/A</c:v>
                </c:pt>
                <c:pt idx="2">
                  <c:v>#N/A</c:v>
                </c:pt>
                <c:pt idx="3">
                  <c:v>#N/A</c:v>
                </c:pt>
                <c:pt idx="4">
                  <c:v>#N/A</c:v>
                </c:pt>
                <c:pt idx="5">
                  <c:v>#N/A</c:v>
                </c:pt>
              </c:numCache>
            </c:numRef>
          </c:val>
          <c:smooth val="0"/>
        </c:ser>
        <c:ser>
          <c:idx val="1"/>
          <c:order val="1"/>
          <c:tx>
            <c:strRef>
              <c:f>Scotland!$K$907</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Scotland!$L$905:$Q$905</c:f>
              <c:strCache>
                <c:ptCount val="6"/>
                <c:pt idx="0">
                  <c:v>2003/04</c:v>
                </c:pt>
                <c:pt idx="1">
                  <c:v>2004/05</c:v>
                </c:pt>
                <c:pt idx="2">
                  <c:v>2005/06</c:v>
                </c:pt>
                <c:pt idx="3">
                  <c:v>2006/07</c:v>
                </c:pt>
                <c:pt idx="4">
                  <c:v>2007/08</c:v>
                </c:pt>
                <c:pt idx="5">
                  <c:v>2008/09</c:v>
                </c:pt>
              </c:strCache>
            </c:strRef>
          </c:cat>
          <c:val>
            <c:numRef>
              <c:f>Scotland!$L$907:$Q$907</c:f>
              <c:numCache>
                <c:formatCode>0.0</c:formatCode>
                <c:ptCount val="6"/>
                <c:pt idx="0">
                  <c:v>13.741397563493141</c:v>
                </c:pt>
                <c:pt idx="1">
                  <c:v>13.24196709903957</c:v>
                </c:pt>
                <c:pt idx="2">
                  <c:v>13.802767064195264</c:v>
                </c:pt>
                <c:pt idx="3">
                  <c:v>15.098417861587466</c:v>
                </c:pt>
                <c:pt idx="4">
                  <c:v>16.340549570013444</c:v>
                </c:pt>
                <c:pt idx="5">
                  <c:v>17.009104173402733</c:v>
                </c:pt>
              </c:numCache>
            </c:numRef>
          </c:val>
          <c:smooth val="0"/>
        </c:ser>
        <c:ser>
          <c:idx val="2"/>
          <c:order val="2"/>
          <c:tx>
            <c:strRef>
              <c:f>Scotland!$K$908</c:f>
              <c:strCache>
                <c:ptCount val="1"/>
                <c:pt idx="0">
                  <c:v>Min</c:v>
                </c:pt>
              </c:strCache>
            </c:strRef>
          </c:tx>
          <c:spPr>
            <a:ln w="25400">
              <a:solidFill>
                <a:srgbClr val="000000"/>
              </a:solidFill>
              <a:prstDash val="sysDash"/>
            </a:ln>
          </c:spPr>
          <c:marker>
            <c:symbol val="none"/>
          </c:marker>
          <c:cat>
            <c:strRef>
              <c:f>Scotland!$L$905:$Q$905</c:f>
              <c:strCache>
                <c:ptCount val="6"/>
                <c:pt idx="0">
                  <c:v>2003/04</c:v>
                </c:pt>
                <c:pt idx="1">
                  <c:v>2004/05</c:v>
                </c:pt>
                <c:pt idx="2">
                  <c:v>2005/06</c:v>
                </c:pt>
                <c:pt idx="3">
                  <c:v>2006/07</c:v>
                </c:pt>
                <c:pt idx="4">
                  <c:v>2007/08</c:v>
                </c:pt>
                <c:pt idx="5">
                  <c:v>2008/09</c:v>
                </c:pt>
              </c:strCache>
            </c:strRef>
          </c:cat>
          <c:val>
            <c:numRef>
              <c:f>Scotland!$L$908:$Q$908</c:f>
              <c:numCache>
                <c:formatCode>#,##0.0</c:formatCode>
                <c:ptCount val="6"/>
                <c:pt idx="0">
                  <c:v>3.0578129246013974</c:v>
                </c:pt>
                <c:pt idx="1">
                  <c:v>2.8229331287278696</c:v>
                </c:pt>
                <c:pt idx="2">
                  <c:v>2.2291587147342078</c:v>
                </c:pt>
                <c:pt idx="3">
                  <c:v>2.971798245259655</c:v>
                </c:pt>
                <c:pt idx="4">
                  <c:v>1.5831234909194931</c:v>
                </c:pt>
                <c:pt idx="5">
                  <c:v>2.2487752815719375</c:v>
                </c:pt>
              </c:numCache>
            </c:numRef>
          </c:val>
          <c:smooth val="0"/>
        </c:ser>
        <c:ser>
          <c:idx val="3"/>
          <c:order val="3"/>
          <c:tx>
            <c:strRef>
              <c:f>Scotland!$K$909</c:f>
              <c:strCache>
                <c:ptCount val="1"/>
                <c:pt idx="0">
                  <c:v>Max</c:v>
                </c:pt>
              </c:strCache>
            </c:strRef>
          </c:tx>
          <c:spPr>
            <a:ln w="25400">
              <a:solidFill>
                <a:srgbClr val="000000"/>
              </a:solidFill>
              <a:prstDash val="sysDash"/>
            </a:ln>
          </c:spPr>
          <c:marker>
            <c:symbol val="none"/>
          </c:marker>
          <c:cat>
            <c:strRef>
              <c:f>Scotland!$L$905:$Q$905</c:f>
              <c:strCache>
                <c:ptCount val="6"/>
                <c:pt idx="0">
                  <c:v>2003/04</c:v>
                </c:pt>
                <c:pt idx="1">
                  <c:v>2004/05</c:v>
                </c:pt>
                <c:pt idx="2">
                  <c:v>2005/06</c:v>
                </c:pt>
                <c:pt idx="3">
                  <c:v>2006/07</c:v>
                </c:pt>
                <c:pt idx="4">
                  <c:v>2007/08</c:v>
                </c:pt>
                <c:pt idx="5">
                  <c:v>2008/09</c:v>
                </c:pt>
              </c:strCache>
            </c:strRef>
          </c:cat>
          <c:val>
            <c:numRef>
              <c:f>Scotland!$L$909:$Q$909</c:f>
              <c:numCache>
                <c:formatCode>#,##0.0</c:formatCode>
                <c:ptCount val="6"/>
                <c:pt idx="0">
                  <c:v>50.144319707332116</c:v>
                </c:pt>
                <c:pt idx="1">
                  <c:v>34.772665106621666</c:v>
                </c:pt>
                <c:pt idx="2">
                  <c:v>36.971749488087184</c:v>
                </c:pt>
                <c:pt idx="3">
                  <c:v>41.993846855088705</c:v>
                </c:pt>
                <c:pt idx="4">
                  <c:v>49.943851350053833</c:v>
                </c:pt>
                <c:pt idx="5">
                  <c:v>55.056314302410712</c:v>
                </c:pt>
              </c:numCache>
            </c:numRef>
          </c:val>
          <c:smooth val="0"/>
        </c:ser>
        <c:dLbls>
          <c:showLegendKey val="0"/>
          <c:showVal val="0"/>
          <c:showCatName val="0"/>
          <c:showSerName val="0"/>
          <c:showPercent val="0"/>
          <c:showBubbleSize val="0"/>
        </c:dLbls>
        <c:marker val="1"/>
        <c:smooth val="0"/>
        <c:axId val="345781376"/>
        <c:axId val="345782912"/>
      </c:lineChart>
      <c:catAx>
        <c:axId val="345781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782912"/>
        <c:crosses val="autoZero"/>
        <c:auto val="1"/>
        <c:lblAlgn val="ctr"/>
        <c:lblOffset val="100"/>
        <c:tickLblSkip val="1"/>
        <c:tickMarkSkip val="1"/>
        <c:noMultiLvlLbl val="0"/>
      </c:catAx>
      <c:valAx>
        <c:axId val="3457829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18-64 (£)</a:t>
                </a:r>
              </a:p>
            </c:rich>
          </c:tx>
          <c:layout>
            <c:manualLayout>
              <c:xMode val="edge"/>
              <c:yMode val="edge"/>
              <c:x val="9.5969289827255271E-3"/>
              <c:y val="0.129450247301803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781376"/>
        <c:crosses val="autoZero"/>
        <c:crossBetween val="between"/>
      </c:valAx>
      <c:spPr>
        <a:noFill/>
        <a:ln w="25400">
          <a:noFill/>
        </a:ln>
      </c:spPr>
    </c:plotArea>
    <c:legend>
      <c:legendPos val="r"/>
      <c:legendEntry>
        <c:idx val="0"/>
        <c:delete val="1"/>
      </c:legendEntry>
      <c:layout>
        <c:manualLayout>
          <c:xMode val="edge"/>
          <c:yMode val="edge"/>
          <c:x val="0.12092130518234165"/>
          <c:y val="0.90938798729516612"/>
          <c:w val="0.8387715930902111"/>
          <c:h val="8.090640456362688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Total gross social work spend (per head of population), 2014/15</a:t>
            </a:r>
          </a:p>
        </c:rich>
      </c:tx>
      <c:layout>
        <c:manualLayout>
          <c:xMode val="edge"/>
          <c:yMode val="edge"/>
          <c:x val="0.15625"/>
          <c:y val="3.5598818007995831E-2"/>
        </c:manualLayout>
      </c:layout>
      <c:overlay val="0"/>
      <c:spPr>
        <a:noFill/>
        <a:ln w="25400">
          <a:noFill/>
        </a:ln>
      </c:spPr>
    </c:title>
    <c:autoTitleDeleted val="0"/>
    <c:plotArea>
      <c:layout>
        <c:manualLayout>
          <c:layoutTarget val="inner"/>
          <c:xMode val="edge"/>
          <c:yMode val="edge"/>
          <c:x val="0.12664473684210525"/>
          <c:y val="0.21682916423052004"/>
          <c:w val="0.84046052631578949"/>
          <c:h val="0.46278463410394577"/>
        </c:manualLayout>
      </c:layout>
      <c:barChart>
        <c:barDir val="col"/>
        <c:grouping val="clustered"/>
        <c:varyColors val="0"/>
        <c:ser>
          <c:idx val="1"/>
          <c:order val="0"/>
          <c:tx>
            <c:strRef>
              <c:f>'Per Capita Data - Overall'!$C$2</c:f>
              <c:strCache>
                <c:ptCount val="1"/>
                <c:pt idx="0">
                  <c:v>Social Work Spend per Capita</c:v>
                </c:pt>
              </c:strCache>
            </c:strRef>
          </c:tx>
          <c:spPr>
            <a:solidFill>
              <a:srgbClr val="0000FF"/>
            </a:solidFill>
            <a:ln w="12700">
              <a:solidFill>
                <a:srgbClr val="000000"/>
              </a:solidFill>
              <a:prstDash val="solid"/>
            </a:ln>
          </c:spPr>
          <c:invertIfNegative val="0"/>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Overall'!$C$3:$C$34</c:f>
              <c:numCache>
                <c:formatCode>#,##0</c:formatCode>
                <c:ptCount val="32"/>
                <c:pt idx="0">
                  <c:v>1462.5484287559191</c:v>
                </c:pt>
                <c:pt idx="1">
                  <c:v>1082.3529411764705</c:v>
                </c:pt>
                <c:pt idx="2">
                  <c:v>1032.0366972477063</c:v>
                </c:pt>
                <c:pt idx="3">
                  <c:v>900.28349870757938</c:v>
                </c:pt>
                <c:pt idx="4">
                  <c:v>885.01058731750811</c:v>
                </c:pt>
                <c:pt idx="5">
                  <c:v>859.95548360987459</c:v>
                </c:pt>
                <c:pt idx="6">
                  <c:v>847.5045804323928</c:v>
                </c:pt>
                <c:pt idx="7">
                  <c:v>840.97170047583268</c:v>
                </c:pt>
                <c:pt idx="8">
                  <c:v>822.30912807750417</c:v>
                </c:pt>
                <c:pt idx="9">
                  <c:v>815.13967571791363</c:v>
                </c:pt>
                <c:pt idx="10">
                  <c:v>789.93597438975587</c:v>
                </c:pt>
                <c:pt idx="11">
                  <c:v>777.74355464293865</c:v>
                </c:pt>
                <c:pt idx="12">
                  <c:v>776.8696550536647</c:v>
                </c:pt>
                <c:pt idx="13">
                  <c:v>765.88049037915073</c:v>
                </c:pt>
                <c:pt idx="14">
                  <c:v>761.1952517396644</c:v>
                </c:pt>
                <c:pt idx="15">
                  <c:v>754.46453668134541</c:v>
                </c:pt>
                <c:pt idx="16">
                  <c:v>753.16124816206502</c:v>
                </c:pt>
                <c:pt idx="17">
                  <c:v>742.82283069129653</c:v>
                </c:pt>
                <c:pt idx="18">
                  <c:v>736.53260593757932</c:v>
                </c:pt>
                <c:pt idx="19">
                  <c:v>712.67210383232486</c:v>
                </c:pt>
                <c:pt idx="20">
                  <c:v>699.53601670339867</c:v>
                </c:pt>
                <c:pt idx="21">
                  <c:v>673.69916707496327</c:v>
                </c:pt>
                <c:pt idx="22">
                  <c:v>669.67810026385223</c:v>
                </c:pt>
                <c:pt idx="23">
                  <c:v>643.76662376662375</c:v>
                </c:pt>
                <c:pt idx="24">
                  <c:v>643.40819475398598</c:v>
                </c:pt>
                <c:pt idx="25">
                  <c:v>637.17254817059973</c:v>
                </c:pt>
                <c:pt idx="26">
                  <c:v>624.30661716531995</c:v>
                </c:pt>
                <c:pt idx="27">
                  <c:v>616.07369355657022</c:v>
                </c:pt>
                <c:pt idx="28">
                  <c:v>612.70602160082854</c:v>
                </c:pt>
                <c:pt idx="29">
                  <c:v>606.54889844169804</c:v>
                </c:pt>
                <c:pt idx="30">
                  <c:v>600.69481765834928</c:v>
                </c:pt>
                <c:pt idx="31">
                  <c:v>544.03612757550104</c:v>
                </c:pt>
              </c:numCache>
            </c:numRef>
          </c:val>
        </c:ser>
        <c:ser>
          <c:idx val="0"/>
          <c:order val="1"/>
          <c:tx>
            <c:strRef>
              <c:f>'Per Capita Data - Overall'!$D$2</c:f>
              <c:strCache>
                <c:ptCount val="1"/>
              </c:strCache>
            </c:strRef>
          </c:tx>
          <c:spPr>
            <a:solidFill>
              <a:srgbClr val="FFFF00"/>
            </a:solidFill>
            <a:ln w="12700">
              <a:solidFill>
                <a:srgbClr val="000000"/>
              </a:solidFill>
              <a:prstDash val="solid"/>
            </a:ln>
          </c:spPr>
          <c:invertIfNegative val="0"/>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Overall'!$D$3:$D$34</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742.82283069129653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297629184"/>
        <c:axId val="297630720"/>
      </c:barChart>
      <c:lineChart>
        <c:grouping val="standard"/>
        <c:varyColors val="0"/>
        <c:ser>
          <c:idx val="2"/>
          <c:order val="2"/>
          <c:tx>
            <c:strRef>
              <c:f>'Per Capita Data - Overall'!$E$2</c:f>
              <c:strCache>
                <c:ptCount val="1"/>
                <c:pt idx="0">
                  <c:v>Average Spend per Capita</c:v>
                </c:pt>
              </c:strCache>
            </c:strRef>
          </c:tx>
          <c:spPr>
            <a:ln w="25400">
              <a:solidFill>
                <a:srgbClr val="FF0000"/>
              </a:solidFill>
              <a:prstDash val="solid"/>
            </a:ln>
          </c:spPr>
          <c:marker>
            <c:symbol val="none"/>
          </c:marker>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Overall'!$E$3:$E$34</c:f>
              <c:numCache>
                <c:formatCode>#,##0</c:formatCode>
                <c:ptCount val="32"/>
                <c:pt idx="0">
                  <c:v>738</c:v>
                </c:pt>
                <c:pt idx="1">
                  <c:v>738</c:v>
                </c:pt>
                <c:pt idx="2">
                  <c:v>738</c:v>
                </c:pt>
                <c:pt idx="3">
                  <c:v>738</c:v>
                </c:pt>
                <c:pt idx="4">
                  <c:v>738</c:v>
                </c:pt>
                <c:pt idx="5">
                  <c:v>738</c:v>
                </c:pt>
                <c:pt idx="6">
                  <c:v>738</c:v>
                </c:pt>
                <c:pt idx="7">
                  <c:v>738</c:v>
                </c:pt>
                <c:pt idx="8">
                  <c:v>738</c:v>
                </c:pt>
                <c:pt idx="9">
                  <c:v>738</c:v>
                </c:pt>
                <c:pt idx="10">
                  <c:v>738</c:v>
                </c:pt>
                <c:pt idx="11">
                  <c:v>738</c:v>
                </c:pt>
                <c:pt idx="12">
                  <c:v>738</c:v>
                </c:pt>
                <c:pt idx="13">
                  <c:v>738</c:v>
                </c:pt>
                <c:pt idx="14">
                  <c:v>738</c:v>
                </c:pt>
                <c:pt idx="15">
                  <c:v>738</c:v>
                </c:pt>
                <c:pt idx="16">
                  <c:v>738</c:v>
                </c:pt>
                <c:pt idx="17">
                  <c:v>738</c:v>
                </c:pt>
                <c:pt idx="18">
                  <c:v>738</c:v>
                </c:pt>
                <c:pt idx="19">
                  <c:v>738</c:v>
                </c:pt>
                <c:pt idx="20">
                  <c:v>738</c:v>
                </c:pt>
                <c:pt idx="21">
                  <c:v>738</c:v>
                </c:pt>
                <c:pt idx="22">
                  <c:v>738</c:v>
                </c:pt>
                <c:pt idx="23">
                  <c:v>738</c:v>
                </c:pt>
                <c:pt idx="24">
                  <c:v>738</c:v>
                </c:pt>
                <c:pt idx="25">
                  <c:v>738</c:v>
                </c:pt>
                <c:pt idx="26">
                  <c:v>738</c:v>
                </c:pt>
                <c:pt idx="27">
                  <c:v>738</c:v>
                </c:pt>
                <c:pt idx="28">
                  <c:v>738</c:v>
                </c:pt>
                <c:pt idx="29">
                  <c:v>738</c:v>
                </c:pt>
                <c:pt idx="30">
                  <c:v>738</c:v>
                </c:pt>
                <c:pt idx="31">
                  <c:v>738</c:v>
                </c:pt>
              </c:numCache>
            </c:numRef>
          </c:val>
          <c:smooth val="0"/>
        </c:ser>
        <c:dLbls>
          <c:showLegendKey val="0"/>
          <c:showVal val="0"/>
          <c:showCatName val="0"/>
          <c:showSerName val="0"/>
          <c:showPercent val="0"/>
          <c:showBubbleSize val="0"/>
        </c:dLbls>
        <c:marker val="1"/>
        <c:smooth val="0"/>
        <c:axId val="297632896"/>
        <c:axId val="297634432"/>
      </c:lineChart>
      <c:catAx>
        <c:axId val="297629184"/>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297630720"/>
        <c:crosses val="autoZero"/>
        <c:auto val="0"/>
        <c:lblAlgn val="ctr"/>
        <c:lblOffset val="100"/>
        <c:tickLblSkip val="1"/>
        <c:tickMarkSkip val="1"/>
        <c:noMultiLvlLbl val="0"/>
      </c:catAx>
      <c:valAx>
        <c:axId val="29763072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a:t>
                </a:r>
              </a:p>
            </c:rich>
          </c:tx>
          <c:layout>
            <c:manualLayout>
              <c:xMode val="edge"/>
              <c:yMode val="edge"/>
              <c:x val="8.2236842105263153E-3"/>
              <c:y val="0.30420808115923709"/>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297629184"/>
        <c:crosses val="autoZero"/>
        <c:crossBetween val="between"/>
      </c:valAx>
      <c:catAx>
        <c:axId val="297632896"/>
        <c:scaling>
          <c:orientation val="minMax"/>
        </c:scaling>
        <c:delete val="1"/>
        <c:axPos val="b"/>
        <c:majorTickMark val="out"/>
        <c:minorTickMark val="none"/>
        <c:tickLblPos val="nextTo"/>
        <c:crossAx val="297634432"/>
        <c:crosses val="autoZero"/>
        <c:auto val="0"/>
        <c:lblAlgn val="ctr"/>
        <c:lblOffset val="100"/>
        <c:noMultiLvlLbl val="0"/>
      </c:catAx>
      <c:valAx>
        <c:axId val="297634432"/>
        <c:scaling>
          <c:orientation val="minMax"/>
        </c:scaling>
        <c:delete val="1"/>
        <c:axPos val="l"/>
        <c:numFmt formatCode="#,##0" sourceLinked="1"/>
        <c:majorTickMark val="out"/>
        <c:minorTickMark val="none"/>
        <c:tickLblPos val="nextTo"/>
        <c:crossAx val="2976328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oddHeader>&amp;A</c:oddHeader>
      <c:oddFooter>Page &amp;P</c:oddFooter>
    </c:headerFooter>
    <c:pageMargins b="1" l="0.75" r="0.75" t="1" header="0.5" footer="0.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Social work expenditure: Addiction services, 2008/09
(per head of population aged 18-64)</a:t>
            </a:r>
          </a:p>
        </c:rich>
      </c:tx>
      <c:layout>
        <c:manualLayout>
          <c:xMode val="edge"/>
          <c:yMode val="edge"/>
          <c:x val="0.165735869369525"/>
          <c:y val="2.0348837209302327E-2"/>
        </c:manualLayout>
      </c:layout>
      <c:overlay val="0"/>
      <c:spPr>
        <a:noFill/>
        <a:ln w="25400">
          <a:noFill/>
        </a:ln>
      </c:spPr>
    </c:title>
    <c:autoTitleDeleted val="0"/>
    <c:plotArea>
      <c:layout>
        <c:manualLayout>
          <c:layoutTarget val="inner"/>
          <c:xMode val="edge"/>
          <c:yMode val="edge"/>
          <c:x val="0.12104305066313624"/>
          <c:y val="0.16569767441860464"/>
          <c:w val="0.83985255152422222"/>
          <c:h val="0.56686046511627908"/>
        </c:manualLayout>
      </c:layout>
      <c:barChart>
        <c:barDir val="col"/>
        <c:grouping val="clustered"/>
        <c:varyColors val="0"/>
        <c:ser>
          <c:idx val="1"/>
          <c:order val="0"/>
          <c:tx>
            <c:strRef>
              <c:f>'Per Capita Data - Other needs'!$E$2</c:f>
              <c:strCache>
                <c:ptCount val="1"/>
                <c:pt idx="0">
                  <c:v>Average Spend per Capita</c:v>
                </c:pt>
              </c:strCache>
            </c:strRef>
          </c:tx>
          <c:spPr>
            <a:solidFill>
              <a:srgbClr val="0000FF"/>
            </a:solidFill>
            <a:ln w="12700">
              <a:solidFill>
                <a:srgbClr val="000000"/>
              </a:solidFill>
              <a:prstDash val="solid"/>
            </a:ln>
          </c:spPr>
          <c:invertIfNegative val="0"/>
          <c:cat>
            <c:strRef>
              <c:f>'Per Capita Data - Other needs'!$B$3:$B$34</c:f>
              <c:strCache>
                <c:ptCount val="32"/>
                <c:pt idx="0">
                  <c:v>Glasgow City</c:v>
                </c:pt>
                <c:pt idx="1">
                  <c:v>Shetland Islands</c:v>
                </c:pt>
                <c:pt idx="2">
                  <c:v>Inverclyde</c:v>
                </c:pt>
                <c:pt idx="3">
                  <c:v>West Dunbartonshire</c:v>
                </c:pt>
                <c:pt idx="4">
                  <c:v>Edinburgh</c:v>
                </c:pt>
                <c:pt idx="5">
                  <c:v>Midlothian</c:v>
                </c:pt>
                <c:pt idx="6">
                  <c:v>Dundee City</c:v>
                </c:pt>
                <c:pt idx="7">
                  <c:v>Highland</c:v>
                </c:pt>
                <c:pt idx="8">
                  <c:v>North Ayrshire</c:v>
                </c:pt>
                <c:pt idx="9">
                  <c:v>Renfrewshire</c:v>
                </c:pt>
                <c:pt idx="10">
                  <c:v>East Renfrewshire</c:v>
                </c:pt>
                <c:pt idx="11">
                  <c:v>Moray</c:v>
                </c:pt>
                <c:pt idx="12">
                  <c:v>Clackmannanshire</c:v>
                </c:pt>
                <c:pt idx="13">
                  <c:v>Aberdeen City</c:v>
                </c:pt>
                <c:pt idx="14">
                  <c:v>Fife</c:v>
                </c:pt>
                <c:pt idx="15">
                  <c:v>East Dunbartonshire</c:v>
                </c:pt>
                <c:pt idx="16">
                  <c:v>Angus</c:v>
                </c:pt>
                <c:pt idx="17">
                  <c:v>South Ayrshire</c:v>
                </c:pt>
                <c:pt idx="18">
                  <c:v>Aberdeenshire</c:v>
                </c:pt>
                <c:pt idx="19">
                  <c:v>Argyll &amp; Bute</c:v>
                </c:pt>
                <c:pt idx="20">
                  <c:v>East Lothian</c:v>
                </c:pt>
                <c:pt idx="21">
                  <c:v>Perth &amp; Kinross</c:v>
                </c:pt>
                <c:pt idx="22">
                  <c:v>Stirling</c:v>
                </c:pt>
                <c:pt idx="23">
                  <c:v>East Ayrshire</c:v>
                </c:pt>
                <c:pt idx="24">
                  <c:v>Eilean Siar</c:v>
                </c:pt>
                <c:pt idx="25">
                  <c:v>North Lanarkshire</c:v>
                </c:pt>
                <c:pt idx="26">
                  <c:v>Falkirk</c:v>
                </c:pt>
                <c:pt idx="27">
                  <c:v>South Lanarkshire</c:v>
                </c:pt>
                <c:pt idx="28">
                  <c:v>West Lothian</c:v>
                </c:pt>
                <c:pt idx="29">
                  <c:v>Scottish Borders</c:v>
                </c:pt>
                <c:pt idx="30">
                  <c:v>Orkney Islands</c:v>
                </c:pt>
                <c:pt idx="31">
                  <c:v>Dumfries &amp; Galloway</c:v>
                </c:pt>
              </c:strCache>
            </c:strRef>
          </c:cat>
          <c:val>
            <c:numRef>
              <c:f>'Per Capita Data - Other needs'!$C$3:$C$34</c:f>
              <c:numCache>
                <c:formatCode>#,##0</c:formatCode>
                <c:ptCount val="32"/>
                <c:pt idx="0">
                  <c:v>61.985248395683151</c:v>
                </c:pt>
                <c:pt idx="1">
                  <c:v>51.338337345984989</c:v>
                </c:pt>
                <c:pt idx="2">
                  <c:v>42.307926891251753</c:v>
                </c:pt>
                <c:pt idx="3">
                  <c:v>29.630420090349659</c:v>
                </c:pt>
                <c:pt idx="4">
                  <c:v>23.877043099528564</c:v>
                </c:pt>
                <c:pt idx="5">
                  <c:v>22.24990417784592</c:v>
                </c:pt>
                <c:pt idx="6">
                  <c:v>21.727954676598646</c:v>
                </c:pt>
                <c:pt idx="7">
                  <c:v>21.002714880265902</c:v>
                </c:pt>
                <c:pt idx="8">
                  <c:v>20.636581912208335</c:v>
                </c:pt>
                <c:pt idx="9">
                  <c:v>20.424919508842496</c:v>
                </c:pt>
                <c:pt idx="10">
                  <c:v>20.089699395826386</c:v>
                </c:pt>
                <c:pt idx="11">
                  <c:v>19.522776572668114</c:v>
                </c:pt>
                <c:pt idx="12">
                  <c:v>18.537883829261339</c:v>
                </c:pt>
                <c:pt idx="13">
                  <c:v>16.889505469679712</c:v>
                </c:pt>
                <c:pt idx="14">
                  <c:v>16.718235799112893</c:v>
                </c:pt>
                <c:pt idx="15">
                  <c:v>14.843242043165924</c:v>
                </c:pt>
                <c:pt idx="16">
                  <c:v>14.536750540019849</c:v>
                </c:pt>
                <c:pt idx="17">
                  <c:v>13.518039275384382</c:v>
                </c:pt>
                <c:pt idx="18">
                  <c:v>13.12795378960266</c:v>
                </c:pt>
                <c:pt idx="19">
                  <c:v>13.117844588889108</c:v>
                </c:pt>
                <c:pt idx="20">
                  <c:v>12.011423908608732</c:v>
                </c:pt>
                <c:pt idx="21">
                  <c:v>11.892749844113146</c:v>
                </c:pt>
                <c:pt idx="22">
                  <c:v>9.9348850341456529</c:v>
                </c:pt>
                <c:pt idx="23">
                  <c:v>9.9258566562019901</c:v>
                </c:pt>
                <c:pt idx="24">
                  <c:v>9.5757498890227666</c:v>
                </c:pt>
                <c:pt idx="25">
                  <c:v>8.6250994657269526</c:v>
                </c:pt>
                <c:pt idx="26">
                  <c:v>8.5115089514066486</c:v>
                </c:pt>
                <c:pt idx="27">
                  <c:v>8.3765028356354225</c:v>
                </c:pt>
                <c:pt idx="28">
                  <c:v>5.5375093875261268</c:v>
                </c:pt>
                <c:pt idx="29">
                  <c:v>4.7091244965325094</c:v>
                </c:pt>
                <c:pt idx="30">
                  <c:v>3.8874203078836884</c:v>
                </c:pt>
                <c:pt idx="31">
                  <c:v>3.3509903270382315</c:v>
                </c:pt>
              </c:numCache>
            </c:numRef>
          </c:val>
        </c:ser>
        <c:dLbls>
          <c:showLegendKey val="0"/>
          <c:showVal val="0"/>
          <c:showCatName val="0"/>
          <c:showSerName val="0"/>
          <c:showPercent val="0"/>
          <c:showBubbleSize val="0"/>
        </c:dLbls>
        <c:gapWidth val="150"/>
        <c:overlap val="100"/>
        <c:axId val="345826816"/>
        <c:axId val="345828352"/>
      </c:barChart>
      <c:lineChart>
        <c:grouping val="standard"/>
        <c:varyColors val="0"/>
        <c:ser>
          <c:idx val="0"/>
          <c:order val="1"/>
          <c:spPr>
            <a:ln w="25400">
              <a:solidFill>
                <a:srgbClr val="000000"/>
              </a:solidFill>
              <a:prstDash val="solid"/>
            </a:ln>
          </c:spPr>
          <c:marker>
            <c:symbol val="none"/>
          </c:marker>
          <c:cat>
            <c:strRef>
              <c:f>'Per Capita Data - Other needs'!$B$3:$B$34</c:f>
              <c:strCache>
                <c:ptCount val="32"/>
                <c:pt idx="0">
                  <c:v>Glasgow City</c:v>
                </c:pt>
                <c:pt idx="1">
                  <c:v>Shetland Islands</c:v>
                </c:pt>
                <c:pt idx="2">
                  <c:v>Inverclyde</c:v>
                </c:pt>
                <c:pt idx="3">
                  <c:v>West Dunbartonshire</c:v>
                </c:pt>
                <c:pt idx="4">
                  <c:v>Edinburgh</c:v>
                </c:pt>
                <c:pt idx="5">
                  <c:v>Midlothian</c:v>
                </c:pt>
                <c:pt idx="6">
                  <c:v>Dundee City</c:v>
                </c:pt>
                <c:pt idx="7">
                  <c:v>Highland</c:v>
                </c:pt>
                <c:pt idx="8">
                  <c:v>North Ayrshire</c:v>
                </c:pt>
                <c:pt idx="9">
                  <c:v>Renfrewshire</c:v>
                </c:pt>
                <c:pt idx="10">
                  <c:v>East Renfrewshire</c:v>
                </c:pt>
                <c:pt idx="11">
                  <c:v>Moray</c:v>
                </c:pt>
                <c:pt idx="12">
                  <c:v>Clackmannanshire</c:v>
                </c:pt>
                <c:pt idx="13">
                  <c:v>Aberdeen City</c:v>
                </c:pt>
                <c:pt idx="14">
                  <c:v>Fife</c:v>
                </c:pt>
                <c:pt idx="15">
                  <c:v>East Dunbartonshire</c:v>
                </c:pt>
                <c:pt idx="16">
                  <c:v>Angus</c:v>
                </c:pt>
                <c:pt idx="17">
                  <c:v>South Ayrshire</c:v>
                </c:pt>
                <c:pt idx="18">
                  <c:v>Aberdeenshire</c:v>
                </c:pt>
                <c:pt idx="19">
                  <c:v>Argyll &amp; Bute</c:v>
                </c:pt>
                <c:pt idx="20">
                  <c:v>East Lothian</c:v>
                </c:pt>
                <c:pt idx="21">
                  <c:v>Perth &amp; Kinross</c:v>
                </c:pt>
                <c:pt idx="22">
                  <c:v>Stirling</c:v>
                </c:pt>
                <c:pt idx="23">
                  <c:v>East Ayrshire</c:v>
                </c:pt>
                <c:pt idx="24">
                  <c:v>Eilean Siar</c:v>
                </c:pt>
                <c:pt idx="25">
                  <c:v>North Lanarkshire</c:v>
                </c:pt>
                <c:pt idx="26">
                  <c:v>Falkirk</c:v>
                </c:pt>
                <c:pt idx="27">
                  <c:v>South Lanarkshire</c:v>
                </c:pt>
                <c:pt idx="28">
                  <c:v>West Lothian</c:v>
                </c:pt>
                <c:pt idx="29">
                  <c:v>Scottish Borders</c:v>
                </c:pt>
                <c:pt idx="30">
                  <c:v>Orkney Islands</c:v>
                </c:pt>
                <c:pt idx="31">
                  <c:v>Dumfries &amp; Galloway</c:v>
                </c:pt>
              </c:strCache>
            </c:strRef>
          </c:cat>
          <c:val>
            <c:numRef>
              <c:f>'Per Capita Data - Other needs'!$E$3:$E$34</c:f>
              <c:numCache>
                <c:formatCode>#,##0</c:formatCode>
                <c:ptCount val="32"/>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numCache>
            </c:numRef>
          </c:val>
          <c:smooth val="0"/>
        </c:ser>
        <c:dLbls>
          <c:showLegendKey val="0"/>
          <c:showVal val="0"/>
          <c:showCatName val="0"/>
          <c:showSerName val="0"/>
          <c:showPercent val="0"/>
          <c:showBubbleSize val="0"/>
        </c:dLbls>
        <c:marker val="1"/>
        <c:smooth val="0"/>
        <c:axId val="345826816"/>
        <c:axId val="345828352"/>
      </c:lineChart>
      <c:catAx>
        <c:axId val="345826816"/>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828352"/>
        <c:crosses val="autoZero"/>
        <c:auto val="0"/>
        <c:lblAlgn val="ctr"/>
        <c:lblOffset val="100"/>
        <c:tickLblSkip val="1"/>
        <c:tickMarkSkip val="1"/>
        <c:noMultiLvlLbl val="0"/>
      </c:catAx>
      <c:valAx>
        <c:axId val="3458283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per head of population aged 18-64 (£)</a:t>
                </a:r>
              </a:p>
            </c:rich>
          </c:tx>
          <c:layout>
            <c:manualLayout>
              <c:xMode val="edge"/>
              <c:yMode val="edge"/>
              <c:x val="9.3110038971643272E-3"/>
              <c:y val="6.1046511627906974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34582681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Older people supported in care homes
(rate per 1,000 population aged 65+)
</a:t>
            </a:r>
          </a:p>
        </c:rich>
      </c:tx>
      <c:layout>
        <c:manualLayout>
          <c:xMode val="edge"/>
          <c:yMode val="edge"/>
          <c:x val="0.25274770480573344"/>
          <c:y val="3.3557101964106356E-2"/>
        </c:manualLayout>
      </c:layout>
      <c:overlay val="0"/>
      <c:spPr>
        <a:noFill/>
        <a:ln w="25400">
          <a:noFill/>
        </a:ln>
      </c:spPr>
    </c:title>
    <c:autoTitleDeleted val="0"/>
    <c:plotArea>
      <c:layout>
        <c:manualLayout>
          <c:layoutTarget val="inner"/>
          <c:xMode val="edge"/>
          <c:yMode val="edge"/>
          <c:x val="0.11355331665185127"/>
          <c:y val="0.19127548119540622"/>
          <c:w val="0.85714439021074829"/>
          <c:h val="0.61409496594314628"/>
        </c:manualLayout>
      </c:layout>
      <c:lineChart>
        <c:grouping val="standard"/>
        <c:varyColors val="0"/>
        <c:ser>
          <c:idx val="0"/>
          <c:order val="0"/>
          <c:tx>
            <c:strRef>
              <c:f>Scotland!$K$486</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Scotland!$L$485:$Q$485</c:f>
              <c:strCache>
                <c:ptCount val="6"/>
                <c:pt idx="0">
                  <c:v>2003/04</c:v>
                </c:pt>
                <c:pt idx="1">
                  <c:v>2004/05</c:v>
                </c:pt>
                <c:pt idx="2">
                  <c:v>2005/06</c:v>
                </c:pt>
                <c:pt idx="3">
                  <c:v>2006/07</c:v>
                </c:pt>
                <c:pt idx="4">
                  <c:v>2007/08</c:v>
                </c:pt>
                <c:pt idx="5">
                  <c:v>2008/09</c:v>
                </c:pt>
              </c:strCache>
            </c:strRef>
          </c:cat>
          <c:val>
            <c:numRef>
              <c:f>Scotland!$L$486:$Q$486</c:f>
              <c:numCache>
                <c:formatCode>0.0</c:formatCode>
                <c:ptCount val="6"/>
                <c:pt idx="0">
                  <c:v>#N/A</c:v>
                </c:pt>
                <c:pt idx="1">
                  <c:v>#N/A</c:v>
                </c:pt>
                <c:pt idx="2">
                  <c:v>#N/A</c:v>
                </c:pt>
                <c:pt idx="3">
                  <c:v>#N/A</c:v>
                </c:pt>
                <c:pt idx="4">
                  <c:v>#N/A</c:v>
                </c:pt>
                <c:pt idx="5">
                  <c:v>#N/A</c:v>
                </c:pt>
              </c:numCache>
            </c:numRef>
          </c:val>
          <c:smooth val="0"/>
        </c:ser>
        <c:ser>
          <c:idx val="1"/>
          <c:order val="1"/>
          <c:tx>
            <c:strRef>
              <c:f>Scotland!$K$487</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Scotland!$L$485:$Q$485</c:f>
              <c:strCache>
                <c:ptCount val="6"/>
                <c:pt idx="0">
                  <c:v>2003/04</c:v>
                </c:pt>
                <c:pt idx="1">
                  <c:v>2004/05</c:v>
                </c:pt>
                <c:pt idx="2">
                  <c:v>2005/06</c:v>
                </c:pt>
                <c:pt idx="3">
                  <c:v>2006/07</c:v>
                </c:pt>
                <c:pt idx="4">
                  <c:v>2007/08</c:v>
                </c:pt>
                <c:pt idx="5">
                  <c:v>2008/09</c:v>
                </c:pt>
              </c:strCache>
            </c:strRef>
          </c:cat>
          <c:val>
            <c:numRef>
              <c:f>Scotland!$L$487:$Q$487</c:f>
              <c:numCache>
                <c:formatCode>0.0</c:formatCode>
                <c:ptCount val="6"/>
                <c:pt idx="0">
                  <c:v>38.435038543069567</c:v>
                </c:pt>
                <c:pt idx="1">
                  <c:v>37.805739598648159</c:v>
                </c:pt>
                <c:pt idx="2">
                  <c:v>37.523074976378084</c:v>
                </c:pt>
                <c:pt idx="3">
                  <c:v>36.810761397851593</c:v>
                </c:pt>
                <c:pt idx="4">
                  <c:v>36.234387089642972</c:v>
                </c:pt>
                <c:pt idx="5">
                  <c:v>35.270360617265418</c:v>
                </c:pt>
              </c:numCache>
            </c:numRef>
          </c:val>
          <c:smooth val="0"/>
        </c:ser>
        <c:ser>
          <c:idx val="2"/>
          <c:order val="2"/>
          <c:tx>
            <c:strRef>
              <c:f>Scotland!$K$488</c:f>
              <c:strCache>
                <c:ptCount val="1"/>
                <c:pt idx="0">
                  <c:v>Min</c:v>
                </c:pt>
              </c:strCache>
            </c:strRef>
          </c:tx>
          <c:spPr>
            <a:ln w="25400">
              <a:solidFill>
                <a:srgbClr val="000000"/>
              </a:solidFill>
              <a:prstDash val="sysDash"/>
            </a:ln>
          </c:spPr>
          <c:marker>
            <c:symbol val="none"/>
          </c:marker>
          <c:val>
            <c:numRef>
              <c:f>Scotland!$L$488:$Q$488</c:f>
              <c:numCache>
                <c:formatCode>0.0</c:formatCode>
                <c:ptCount val="6"/>
                <c:pt idx="0">
                  <c:v>26.46280505733608</c:v>
                </c:pt>
                <c:pt idx="1">
                  <c:v>26.191723415400734</c:v>
                </c:pt>
                <c:pt idx="2">
                  <c:v>27.048958615093319</c:v>
                </c:pt>
                <c:pt idx="3">
                  <c:v>28.336639274582033</c:v>
                </c:pt>
                <c:pt idx="4">
                  <c:v>27.258738184216309</c:v>
                </c:pt>
                <c:pt idx="5">
                  <c:v>25.100401606425702</c:v>
                </c:pt>
              </c:numCache>
            </c:numRef>
          </c:val>
          <c:smooth val="0"/>
        </c:ser>
        <c:ser>
          <c:idx val="3"/>
          <c:order val="3"/>
          <c:tx>
            <c:strRef>
              <c:f>Scotland!$K$489</c:f>
              <c:strCache>
                <c:ptCount val="1"/>
                <c:pt idx="0">
                  <c:v>Max</c:v>
                </c:pt>
              </c:strCache>
            </c:strRef>
          </c:tx>
          <c:spPr>
            <a:ln w="25400">
              <a:solidFill>
                <a:srgbClr val="000000"/>
              </a:solidFill>
              <a:prstDash val="sysDash"/>
            </a:ln>
          </c:spPr>
          <c:marker>
            <c:symbol val="none"/>
          </c:marker>
          <c:val>
            <c:numRef>
              <c:f>Scotland!$L$489:$Q$489</c:f>
              <c:numCache>
                <c:formatCode>0.0</c:formatCode>
                <c:ptCount val="6"/>
                <c:pt idx="0">
                  <c:v>44.986918277711347</c:v>
                </c:pt>
                <c:pt idx="1">
                  <c:v>53.629142052113792</c:v>
                </c:pt>
                <c:pt idx="2">
                  <c:v>53.210656545030872</c:v>
                </c:pt>
                <c:pt idx="3">
                  <c:v>52.164840897235266</c:v>
                </c:pt>
                <c:pt idx="4">
                  <c:v>51.260669086628084</c:v>
                </c:pt>
                <c:pt idx="5">
                  <c:v>49.46638141053387</c:v>
                </c:pt>
              </c:numCache>
            </c:numRef>
          </c:val>
          <c:smooth val="0"/>
        </c:ser>
        <c:dLbls>
          <c:showLegendKey val="0"/>
          <c:showVal val="0"/>
          <c:showCatName val="0"/>
          <c:showSerName val="0"/>
          <c:showPercent val="0"/>
          <c:showBubbleSize val="0"/>
        </c:dLbls>
        <c:marker val="1"/>
        <c:smooth val="0"/>
        <c:axId val="345875200"/>
        <c:axId val="345876736"/>
      </c:lineChart>
      <c:catAx>
        <c:axId val="34587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5876736"/>
        <c:crosses val="autoZero"/>
        <c:auto val="1"/>
        <c:lblAlgn val="ctr"/>
        <c:lblOffset val="100"/>
        <c:tickLblSkip val="1"/>
        <c:tickMarkSkip val="1"/>
        <c:noMultiLvlLbl val="0"/>
      </c:catAx>
      <c:valAx>
        <c:axId val="3458767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1575255364396181E-3"/>
              <c:y val="0.154362669034889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875200"/>
        <c:crosses val="autoZero"/>
        <c:crossBetween val="between"/>
      </c:valAx>
      <c:spPr>
        <a:noFill/>
        <a:ln w="25400">
          <a:noFill/>
        </a:ln>
      </c:spPr>
    </c:plotArea>
    <c:legend>
      <c:legendPos val="r"/>
      <c:legendEntry>
        <c:idx val="0"/>
        <c:delete val="1"/>
      </c:legendEntry>
      <c:layout>
        <c:manualLayout>
          <c:xMode val="edge"/>
          <c:yMode val="edge"/>
          <c:x val="0.36813252656487266"/>
          <c:y val="0.91275317342369278"/>
          <c:w val="0.44505574107096546"/>
          <c:h val="7.7181334517444619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Older people supported in care homes, 2008/09
(rate per 1,000 population aged 65+)</a:t>
            </a:r>
          </a:p>
        </c:rich>
      </c:tx>
      <c:layout>
        <c:manualLayout>
          <c:xMode val="edge"/>
          <c:yMode val="edge"/>
          <c:x val="0.1900369003690037"/>
          <c:y val="3.3536635290579882E-2"/>
        </c:manualLayout>
      </c:layout>
      <c:overlay val="0"/>
      <c:spPr>
        <a:noFill/>
        <a:ln w="25400">
          <a:noFill/>
        </a:ln>
      </c:spPr>
    </c:title>
    <c:autoTitleDeleted val="0"/>
    <c:plotArea>
      <c:layout>
        <c:manualLayout>
          <c:layoutTarget val="inner"/>
          <c:xMode val="edge"/>
          <c:yMode val="edge"/>
          <c:x val="0.10885608856088561"/>
          <c:y val="0.17987831655856482"/>
          <c:w val="0.85424354243542433"/>
          <c:h val="0.56402522988702519"/>
        </c:manualLayout>
      </c:layout>
      <c:barChart>
        <c:barDir val="col"/>
        <c:grouping val="clustered"/>
        <c:varyColors val="0"/>
        <c:ser>
          <c:idx val="1"/>
          <c:order val="0"/>
          <c:tx>
            <c:strRef>
              <c:f>'Statistics - Older People'!$B$63</c:f>
              <c:strCache>
                <c:ptCount val="1"/>
                <c:pt idx="0">
                  <c:v>Rate per 1,000 (2014/15)</c:v>
                </c:pt>
              </c:strCache>
            </c:strRef>
          </c:tx>
          <c:spPr>
            <a:solidFill>
              <a:srgbClr val="0000FF"/>
            </a:solidFill>
            <a:ln w="12700">
              <a:solidFill>
                <a:srgbClr val="000000"/>
              </a:solidFill>
              <a:prstDash val="solid"/>
            </a:ln>
          </c:spPr>
          <c:invertIfNegative val="0"/>
          <c:cat>
            <c:strRef>
              <c:f>'Statistics - Older People'!$A$64:$A$95</c:f>
              <c:strCache>
                <c:ptCount val="32"/>
                <c:pt idx="0">
                  <c:v>Inverclyde</c:v>
                </c:pt>
                <c:pt idx="1">
                  <c:v>Glasgow City</c:v>
                </c:pt>
                <c:pt idx="2">
                  <c:v>Dundee City</c:v>
                </c:pt>
                <c:pt idx="3">
                  <c:v>Aberdeen City</c:v>
                </c:pt>
                <c:pt idx="4">
                  <c:v>Edinburgh</c:v>
                </c:pt>
                <c:pt idx="5">
                  <c:v>West Dunbartonshire</c:v>
                </c:pt>
                <c:pt idx="6">
                  <c:v>South Ayrshire</c:v>
                </c:pt>
                <c:pt idx="7">
                  <c:v>Highland</c:v>
                </c:pt>
                <c:pt idx="8">
                  <c:v>North Ayrshire</c:v>
                </c:pt>
                <c:pt idx="9">
                  <c:v>East Renfrewshire</c:v>
                </c:pt>
                <c:pt idx="10">
                  <c:v>Renfrewshire</c:v>
                </c:pt>
                <c:pt idx="11">
                  <c:v>Fife</c:v>
                </c:pt>
                <c:pt idx="12">
                  <c:v>East Ayrshire</c:v>
                </c:pt>
                <c:pt idx="13">
                  <c:v>Aberdeenshire</c:v>
                </c:pt>
                <c:pt idx="14">
                  <c:v>Falkirk</c:v>
                </c:pt>
                <c:pt idx="15">
                  <c:v>South Lanarkshire</c:v>
                </c:pt>
                <c:pt idx="16">
                  <c:v>East Lothian</c:v>
                </c:pt>
                <c:pt idx="17">
                  <c:v>East Dunbartonshire</c:v>
                </c:pt>
                <c:pt idx="18">
                  <c:v>Eilean Siar</c:v>
                </c:pt>
                <c:pt idx="19">
                  <c:v>Angus</c:v>
                </c:pt>
                <c:pt idx="20">
                  <c:v>Midlothian</c:v>
                </c:pt>
                <c:pt idx="21">
                  <c:v>Stirling</c:v>
                </c:pt>
                <c:pt idx="22">
                  <c:v>Moray</c:v>
                </c:pt>
                <c:pt idx="23">
                  <c:v>Dumfries &amp; Galloway</c:v>
                </c:pt>
                <c:pt idx="24">
                  <c:v>West Lothian</c:v>
                </c:pt>
                <c:pt idx="25">
                  <c:v>Scottish Borders</c:v>
                </c:pt>
                <c:pt idx="26">
                  <c:v>Perth &amp; Kinross</c:v>
                </c:pt>
                <c:pt idx="27">
                  <c:v>Argyll &amp; Bute</c:v>
                </c:pt>
                <c:pt idx="28">
                  <c:v>Shetland Islands</c:v>
                </c:pt>
                <c:pt idx="29">
                  <c:v>North Lanarkshire</c:v>
                </c:pt>
                <c:pt idx="30">
                  <c:v>Clackmannanshire</c:v>
                </c:pt>
                <c:pt idx="31">
                  <c:v>Orkney Islands</c:v>
                </c:pt>
              </c:strCache>
            </c:strRef>
          </c:cat>
          <c:val>
            <c:numRef>
              <c:f>'Statistics - Older People'!$B$64:$B$95</c:f>
              <c:numCache>
                <c:formatCode>0.0</c:formatCode>
                <c:ptCount val="32"/>
                <c:pt idx="0">
                  <c:v>43.336944745395449</c:v>
                </c:pt>
                <c:pt idx="1">
                  <c:v>42.737600708701954</c:v>
                </c:pt>
                <c:pt idx="2">
                  <c:v>40.703985113971157</c:v>
                </c:pt>
                <c:pt idx="3">
                  <c:v>39.403403286535706</c:v>
                </c:pt>
                <c:pt idx="4">
                  <c:v>35.090571610508199</c:v>
                </c:pt>
                <c:pt idx="5">
                  <c:v>34.305317324185253</c:v>
                </c:pt>
                <c:pt idx="6">
                  <c:v>34.121929026387626</c:v>
                </c:pt>
                <c:pt idx="7">
                  <c:v>32.489846922836612</c:v>
                </c:pt>
                <c:pt idx="8">
                  <c:v>32.292032292032296</c:v>
                </c:pt>
                <c:pt idx="9">
                  <c:v>32.223415682062303</c:v>
                </c:pt>
                <c:pt idx="10">
                  <c:v>31.180120311171304</c:v>
                </c:pt>
                <c:pt idx="11">
                  <c:v>31.099165529178336</c:v>
                </c:pt>
                <c:pt idx="12">
                  <c:v>31.027795733678087</c:v>
                </c:pt>
                <c:pt idx="13">
                  <c:v>30.794094522582338</c:v>
                </c:pt>
                <c:pt idx="14">
                  <c:v>30.757125996924287</c:v>
                </c:pt>
                <c:pt idx="15">
                  <c:v>29.336203305096515</c:v>
                </c:pt>
                <c:pt idx="16">
                  <c:v>29.236766516208451</c:v>
                </c:pt>
                <c:pt idx="17">
                  <c:v>28.288543140028288</c:v>
                </c:pt>
                <c:pt idx="18">
                  <c:v>27.924294135898233</c:v>
                </c:pt>
                <c:pt idx="19">
                  <c:v>27.698669683610969</c:v>
                </c:pt>
                <c:pt idx="20">
                  <c:v>26.260167808877217</c:v>
                </c:pt>
                <c:pt idx="21">
                  <c:v>26.072529035316428</c:v>
                </c:pt>
                <c:pt idx="22">
                  <c:v>25.789473684210524</c:v>
                </c:pt>
                <c:pt idx="23">
                  <c:v>25.723472668810288</c:v>
                </c:pt>
                <c:pt idx="24">
                  <c:v>25.064504238849985</c:v>
                </c:pt>
                <c:pt idx="25">
                  <c:v>24.685731647107971</c:v>
                </c:pt>
                <c:pt idx="26">
                  <c:v>24.295731332267192</c:v>
                </c:pt>
                <c:pt idx="27">
                  <c:v>24.156877605153465</c:v>
                </c:pt>
                <c:pt idx="28">
                  <c:v>23.629489603024574</c:v>
                </c:pt>
                <c:pt idx="29">
                  <c:v>23.54358300481822</c:v>
                </c:pt>
                <c:pt idx="30">
                  <c:v>21.438525029477972</c:v>
                </c:pt>
                <c:pt idx="31">
                  <c:v>21.199915200339198</c:v>
                </c:pt>
              </c:numCache>
            </c:numRef>
          </c:val>
        </c:ser>
        <c:dLbls>
          <c:showLegendKey val="0"/>
          <c:showVal val="0"/>
          <c:showCatName val="0"/>
          <c:showSerName val="0"/>
          <c:showPercent val="0"/>
          <c:showBubbleSize val="0"/>
        </c:dLbls>
        <c:gapWidth val="150"/>
        <c:overlap val="100"/>
        <c:axId val="345909120"/>
        <c:axId val="345910656"/>
      </c:barChart>
      <c:lineChart>
        <c:grouping val="standard"/>
        <c:varyColors val="0"/>
        <c:ser>
          <c:idx val="2"/>
          <c:order val="1"/>
          <c:tx>
            <c:strRef>
              <c:f>'Statistics - Older People'!$D$310</c:f>
              <c:strCache>
                <c:ptCount val="1"/>
                <c:pt idx="0">
                  <c:v>Scottish rate</c:v>
                </c:pt>
              </c:strCache>
            </c:strRef>
          </c:tx>
          <c:spPr>
            <a:ln w="25400">
              <a:solidFill>
                <a:srgbClr val="000000"/>
              </a:solidFill>
              <a:prstDash val="solid"/>
            </a:ln>
          </c:spPr>
          <c:marker>
            <c:symbol val="none"/>
          </c:marker>
          <c:cat>
            <c:strRef>
              <c:f>'Statistics - Older People'!$A$64:$A$95</c:f>
              <c:strCache>
                <c:ptCount val="32"/>
                <c:pt idx="0">
                  <c:v>Inverclyde</c:v>
                </c:pt>
                <c:pt idx="1">
                  <c:v>Glasgow City</c:v>
                </c:pt>
                <c:pt idx="2">
                  <c:v>Dundee City</c:v>
                </c:pt>
                <c:pt idx="3">
                  <c:v>Aberdeen City</c:v>
                </c:pt>
                <c:pt idx="4">
                  <c:v>Edinburgh</c:v>
                </c:pt>
                <c:pt idx="5">
                  <c:v>West Dunbartonshire</c:v>
                </c:pt>
                <c:pt idx="6">
                  <c:v>South Ayrshire</c:v>
                </c:pt>
                <c:pt idx="7">
                  <c:v>Highland</c:v>
                </c:pt>
                <c:pt idx="8">
                  <c:v>North Ayrshire</c:v>
                </c:pt>
                <c:pt idx="9">
                  <c:v>East Renfrewshire</c:v>
                </c:pt>
                <c:pt idx="10">
                  <c:v>Renfrewshire</c:v>
                </c:pt>
                <c:pt idx="11">
                  <c:v>Fife</c:v>
                </c:pt>
                <c:pt idx="12">
                  <c:v>East Ayrshire</c:v>
                </c:pt>
                <c:pt idx="13">
                  <c:v>Aberdeenshire</c:v>
                </c:pt>
                <c:pt idx="14">
                  <c:v>Falkirk</c:v>
                </c:pt>
                <c:pt idx="15">
                  <c:v>South Lanarkshire</c:v>
                </c:pt>
                <c:pt idx="16">
                  <c:v>East Lothian</c:v>
                </c:pt>
                <c:pt idx="17">
                  <c:v>East Dunbartonshire</c:v>
                </c:pt>
                <c:pt idx="18">
                  <c:v>Eilean Siar</c:v>
                </c:pt>
                <c:pt idx="19">
                  <c:v>Angus</c:v>
                </c:pt>
                <c:pt idx="20">
                  <c:v>Midlothian</c:v>
                </c:pt>
                <c:pt idx="21">
                  <c:v>Stirling</c:v>
                </c:pt>
                <c:pt idx="22">
                  <c:v>Moray</c:v>
                </c:pt>
                <c:pt idx="23">
                  <c:v>Dumfries &amp; Galloway</c:v>
                </c:pt>
                <c:pt idx="24">
                  <c:v>West Lothian</c:v>
                </c:pt>
                <c:pt idx="25">
                  <c:v>Scottish Borders</c:v>
                </c:pt>
                <c:pt idx="26">
                  <c:v>Perth &amp; Kinross</c:v>
                </c:pt>
                <c:pt idx="27">
                  <c:v>Argyll &amp; Bute</c:v>
                </c:pt>
                <c:pt idx="28">
                  <c:v>Shetland Islands</c:v>
                </c:pt>
                <c:pt idx="29">
                  <c:v>North Lanarkshire</c:v>
                </c:pt>
                <c:pt idx="30">
                  <c:v>Clackmannanshire</c:v>
                </c:pt>
                <c:pt idx="31">
                  <c:v>Orkney Islands</c:v>
                </c:pt>
              </c:strCache>
            </c:strRef>
          </c:cat>
          <c:val>
            <c:numRef>
              <c:f>'Statistics - Older People'!$D$64:$D$95</c:f>
              <c:numCache>
                <c:formatCode>0.0</c:formatCode>
                <c:ptCount val="32"/>
                <c:pt idx="0">
                  <c:v>31.24777336380318</c:v>
                </c:pt>
                <c:pt idx="1">
                  <c:v>31.24777336380318</c:v>
                </c:pt>
                <c:pt idx="2">
                  <c:v>31.24777336380318</c:v>
                </c:pt>
                <c:pt idx="3">
                  <c:v>31.24777336380318</c:v>
                </c:pt>
                <c:pt idx="4">
                  <c:v>31.24777336380318</c:v>
                </c:pt>
                <c:pt idx="5">
                  <c:v>31.24777336380318</c:v>
                </c:pt>
                <c:pt idx="6">
                  <c:v>31.24777336380318</c:v>
                </c:pt>
                <c:pt idx="7">
                  <c:v>31.24777336380318</c:v>
                </c:pt>
                <c:pt idx="8">
                  <c:v>31.24777336380318</c:v>
                </c:pt>
                <c:pt idx="9">
                  <c:v>31.24777336380318</c:v>
                </c:pt>
                <c:pt idx="10">
                  <c:v>31.24777336380318</c:v>
                </c:pt>
                <c:pt idx="11">
                  <c:v>31.24777336380318</c:v>
                </c:pt>
                <c:pt idx="12">
                  <c:v>31.24777336380318</c:v>
                </c:pt>
                <c:pt idx="13">
                  <c:v>31.24777336380318</c:v>
                </c:pt>
                <c:pt idx="14">
                  <c:v>31.24777336380318</c:v>
                </c:pt>
                <c:pt idx="15">
                  <c:v>31.24777336380318</c:v>
                </c:pt>
                <c:pt idx="16">
                  <c:v>31.24777336380318</c:v>
                </c:pt>
                <c:pt idx="17">
                  <c:v>31.24777336380318</c:v>
                </c:pt>
                <c:pt idx="18">
                  <c:v>31.24777336380318</c:v>
                </c:pt>
                <c:pt idx="19">
                  <c:v>31.24777336380318</c:v>
                </c:pt>
                <c:pt idx="20">
                  <c:v>31.24777336380318</c:v>
                </c:pt>
                <c:pt idx="21">
                  <c:v>31.24777336380318</c:v>
                </c:pt>
                <c:pt idx="22">
                  <c:v>31.24777336380318</c:v>
                </c:pt>
                <c:pt idx="23">
                  <c:v>31.24777336380318</c:v>
                </c:pt>
                <c:pt idx="24">
                  <c:v>31.24777336380318</c:v>
                </c:pt>
                <c:pt idx="25">
                  <c:v>31.24777336380318</c:v>
                </c:pt>
                <c:pt idx="26">
                  <c:v>31.24777336380318</c:v>
                </c:pt>
                <c:pt idx="27">
                  <c:v>31.24777336380318</c:v>
                </c:pt>
                <c:pt idx="28">
                  <c:v>31.24777336380318</c:v>
                </c:pt>
                <c:pt idx="29">
                  <c:v>31.24777336380318</c:v>
                </c:pt>
                <c:pt idx="30">
                  <c:v>31.24777336380318</c:v>
                </c:pt>
                <c:pt idx="31">
                  <c:v>31.24777336380318</c:v>
                </c:pt>
              </c:numCache>
            </c:numRef>
          </c:val>
          <c:smooth val="0"/>
        </c:ser>
        <c:dLbls>
          <c:showLegendKey val="0"/>
          <c:showVal val="0"/>
          <c:showCatName val="0"/>
          <c:showSerName val="0"/>
          <c:showPercent val="0"/>
          <c:showBubbleSize val="0"/>
        </c:dLbls>
        <c:marker val="1"/>
        <c:smooth val="0"/>
        <c:axId val="345925120"/>
        <c:axId val="345926656"/>
      </c:lineChart>
      <c:catAx>
        <c:axId val="345909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910656"/>
        <c:crosses val="autoZero"/>
        <c:auto val="0"/>
        <c:lblAlgn val="ctr"/>
        <c:lblOffset val="100"/>
        <c:tickLblSkip val="1"/>
        <c:tickMarkSkip val="1"/>
        <c:noMultiLvlLbl val="0"/>
      </c:catAx>
      <c:valAx>
        <c:axId val="3459106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2250922509225092E-3"/>
              <c:y val="0.1128050459774050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909120"/>
        <c:crosses val="autoZero"/>
        <c:crossBetween val="between"/>
      </c:valAx>
      <c:catAx>
        <c:axId val="345925120"/>
        <c:scaling>
          <c:orientation val="minMax"/>
        </c:scaling>
        <c:delete val="1"/>
        <c:axPos val="b"/>
        <c:majorTickMark val="out"/>
        <c:minorTickMark val="none"/>
        <c:tickLblPos val="nextTo"/>
        <c:crossAx val="345926656"/>
        <c:crosses val="autoZero"/>
        <c:auto val="0"/>
        <c:lblAlgn val="ctr"/>
        <c:lblOffset val="100"/>
        <c:noMultiLvlLbl val="0"/>
      </c:catAx>
      <c:valAx>
        <c:axId val="345926656"/>
        <c:scaling>
          <c:orientation val="minMax"/>
        </c:scaling>
        <c:delete val="1"/>
        <c:axPos val="l"/>
        <c:numFmt formatCode="0.0" sourceLinked="1"/>
        <c:majorTickMark val="out"/>
        <c:minorTickMark val="none"/>
        <c:tickLblPos val="nextTo"/>
        <c:crossAx val="34592512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Total home care hours (all care groups), 2009
(rate per 1,000 population aged 65+)</a:t>
            </a:r>
          </a:p>
        </c:rich>
      </c:tx>
      <c:layout>
        <c:manualLayout>
          <c:xMode val="edge"/>
          <c:yMode val="edge"/>
          <c:x val="0.20222634508348794"/>
          <c:y val="3.5369774919614148E-2"/>
        </c:manualLayout>
      </c:layout>
      <c:overlay val="0"/>
      <c:spPr>
        <a:noFill/>
        <a:ln w="25400">
          <a:noFill/>
        </a:ln>
      </c:spPr>
    </c:title>
    <c:autoTitleDeleted val="0"/>
    <c:plotArea>
      <c:layout>
        <c:manualLayout>
          <c:layoutTarget val="inner"/>
          <c:xMode val="edge"/>
          <c:yMode val="edge"/>
          <c:x val="0.11688311688311688"/>
          <c:y val="0.18006430868167203"/>
          <c:w val="0.84786641929499074"/>
          <c:h val="0.54983922829581988"/>
        </c:manualLayout>
      </c:layout>
      <c:barChart>
        <c:barDir val="col"/>
        <c:grouping val="clustered"/>
        <c:varyColors val="0"/>
        <c:ser>
          <c:idx val="1"/>
          <c:order val="0"/>
          <c:tx>
            <c:strRef>
              <c:f>'Statistics - Older People'!$B$144</c:f>
              <c:strCache>
                <c:ptCount val="1"/>
                <c:pt idx="0">
                  <c:v>Rate per 1,000 (2014/15)</c:v>
                </c:pt>
              </c:strCache>
            </c:strRef>
          </c:tx>
          <c:spPr>
            <a:solidFill>
              <a:srgbClr val="0000FF"/>
            </a:solidFill>
            <a:ln w="12700">
              <a:solidFill>
                <a:srgbClr val="000000"/>
              </a:solidFill>
              <a:prstDash val="solid"/>
            </a:ln>
          </c:spPr>
          <c:invertIfNegative val="0"/>
          <c:cat>
            <c:strRef>
              <c:f>'Statistics - Older People'!$A$145:$A$176</c:f>
              <c:strCache>
                <c:ptCount val="32"/>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Eilean Siar</c:v>
                </c:pt>
                <c:pt idx="15">
                  <c:v>South Ayrshire</c:v>
                </c:pt>
                <c:pt idx="16">
                  <c:v>West Lothian</c:v>
                </c:pt>
                <c:pt idx="17">
                  <c:v>Angus</c:v>
                </c:pt>
                <c:pt idx="18">
                  <c:v>West Dunbartonshire</c:v>
                </c:pt>
                <c:pt idx="19">
                  <c:v>Midlothian</c:v>
                </c:pt>
                <c:pt idx="20">
                  <c:v>Moray</c:v>
                </c:pt>
                <c:pt idx="21">
                  <c:v>Dundee City</c:v>
                </c:pt>
                <c:pt idx="22">
                  <c:v>Shetland Islands</c:v>
                </c:pt>
                <c:pt idx="23">
                  <c:v>North Lanarkshire</c:v>
                </c:pt>
                <c:pt idx="24">
                  <c:v>Argyll &amp; Bute</c:v>
                </c:pt>
                <c:pt idx="25">
                  <c:v>Orkney Islands</c:v>
                </c:pt>
                <c:pt idx="26">
                  <c:v>Aberdeen City</c:v>
                </c:pt>
                <c:pt idx="27">
                  <c:v>Aberdeenshire</c:v>
                </c:pt>
                <c:pt idx="28">
                  <c:v>East Renfrewshire</c:v>
                </c:pt>
                <c:pt idx="29">
                  <c:v>Perth &amp; Kinross</c:v>
                </c:pt>
                <c:pt idx="30">
                  <c:v>Scottish Borders</c:v>
                </c:pt>
                <c:pt idx="31">
                  <c:v>Highland</c:v>
                </c:pt>
              </c:strCache>
            </c:strRef>
          </c:cat>
          <c:val>
            <c:numRef>
              <c:f>'Statistics - Older People'!$B$145:$B$176</c:f>
              <c:numCache>
                <c:formatCode>0.0</c:formatCode>
                <c:ptCount val="32"/>
                <c:pt idx="0">
                  <c:v>1122.7015558698727</c:v>
                </c:pt>
                <c:pt idx="1">
                  <c:v>1119.9336335624555</c:v>
                </c:pt>
                <c:pt idx="2">
                  <c:v>1102.7903159622488</c:v>
                </c:pt>
                <c:pt idx="3">
                  <c:v>1096.0436180623515</c:v>
                </c:pt>
                <c:pt idx="4">
                  <c:v>1089.7294573399263</c:v>
                </c:pt>
                <c:pt idx="5">
                  <c:v>1064.3043783060352</c:v>
                </c:pt>
                <c:pt idx="6">
                  <c:v>986.32958040347387</c:v>
                </c:pt>
                <c:pt idx="7">
                  <c:v>902.07090207090209</c:v>
                </c:pt>
                <c:pt idx="8">
                  <c:v>896.6516227119821</c:v>
                </c:pt>
                <c:pt idx="9">
                  <c:v>814.66395112016301</c:v>
                </c:pt>
                <c:pt idx="10">
                  <c:v>776.080969922392</c:v>
                </c:pt>
                <c:pt idx="11">
                  <c:v>771.3854772678302</c:v>
                </c:pt>
                <c:pt idx="12">
                  <c:v>762.70351659794835</c:v>
                </c:pt>
                <c:pt idx="13">
                  <c:v>739.48062769059857</c:v>
                </c:pt>
                <c:pt idx="14">
                  <c:v>698.10735339745577</c:v>
                </c:pt>
                <c:pt idx="15">
                  <c:v>697.60388231725813</c:v>
                </c:pt>
                <c:pt idx="16">
                  <c:v>692.95982307408781</c:v>
                </c:pt>
                <c:pt idx="17">
                  <c:v>674.91124722038001</c:v>
                </c:pt>
                <c:pt idx="18">
                  <c:v>667.04783685915754</c:v>
                </c:pt>
                <c:pt idx="19">
                  <c:v>653.30173573304296</c:v>
                </c:pt>
                <c:pt idx="20">
                  <c:v>642.10526315789468</c:v>
                </c:pt>
                <c:pt idx="21">
                  <c:v>620.25120173670336</c:v>
                </c:pt>
                <c:pt idx="22">
                  <c:v>614.36672967863888</c:v>
                </c:pt>
                <c:pt idx="23">
                  <c:v>584.02686523580087</c:v>
                </c:pt>
                <c:pt idx="24">
                  <c:v>577.87040545661239</c:v>
                </c:pt>
                <c:pt idx="25">
                  <c:v>529.99788000847991</c:v>
                </c:pt>
                <c:pt idx="26">
                  <c:v>522.45993987332542</c:v>
                </c:pt>
                <c:pt idx="27">
                  <c:v>393.11610028828517</c:v>
                </c:pt>
                <c:pt idx="28">
                  <c:v>344.84708010628071</c:v>
                </c:pt>
                <c:pt idx="29">
                  <c:v>325.9933571164965</c:v>
                </c:pt>
                <c:pt idx="30">
                  <c:v>319.01560897801073</c:v>
                </c:pt>
                <c:pt idx="31">
                  <c:v>289.49286681245445</c:v>
                </c:pt>
              </c:numCache>
            </c:numRef>
          </c:val>
        </c:ser>
        <c:dLbls>
          <c:showLegendKey val="0"/>
          <c:showVal val="0"/>
          <c:showCatName val="0"/>
          <c:showSerName val="0"/>
          <c:showPercent val="0"/>
          <c:showBubbleSize val="0"/>
        </c:dLbls>
        <c:gapWidth val="150"/>
        <c:overlap val="100"/>
        <c:axId val="345957120"/>
        <c:axId val="345958656"/>
      </c:barChart>
      <c:lineChart>
        <c:grouping val="standard"/>
        <c:varyColors val="0"/>
        <c:ser>
          <c:idx val="2"/>
          <c:order val="1"/>
          <c:tx>
            <c:strRef>
              <c:f>'Statistics - Older People'!$D$310</c:f>
              <c:strCache>
                <c:ptCount val="1"/>
                <c:pt idx="0">
                  <c:v>Scottish rate</c:v>
                </c:pt>
              </c:strCache>
            </c:strRef>
          </c:tx>
          <c:spPr>
            <a:ln w="25400">
              <a:solidFill>
                <a:srgbClr val="000000"/>
              </a:solidFill>
              <a:prstDash val="solid"/>
            </a:ln>
          </c:spPr>
          <c:marker>
            <c:symbol val="none"/>
          </c:marker>
          <c:cat>
            <c:strRef>
              <c:f>'Statistics - Older People'!$A$145:$A$176</c:f>
              <c:strCache>
                <c:ptCount val="32"/>
                <c:pt idx="0">
                  <c:v>East Dunbartonshire</c:v>
                </c:pt>
                <c:pt idx="1">
                  <c:v>Stirling</c:v>
                </c:pt>
                <c:pt idx="2">
                  <c:v>East Lothian</c:v>
                </c:pt>
                <c:pt idx="3">
                  <c:v>Dumfries &amp; Galloway</c:v>
                </c:pt>
                <c:pt idx="4">
                  <c:v>Renfrewshire</c:v>
                </c:pt>
                <c:pt idx="5">
                  <c:v>Inverclyde</c:v>
                </c:pt>
                <c:pt idx="6">
                  <c:v>Edinburgh</c:v>
                </c:pt>
                <c:pt idx="7">
                  <c:v>North Ayrshire</c:v>
                </c:pt>
                <c:pt idx="8">
                  <c:v>Glasgow City</c:v>
                </c:pt>
                <c:pt idx="9">
                  <c:v>Clackmannanshire</c:v>
                </c:pt>
                <c:pt idx="10">
                  <c:v>Falkirk</c:v>
                </c:pt>
                <c:pt idx="11">
                  <c:v>East Ayrshire</c:v>
                </c:pt>
                <c:pt idx="12">
                  <c:v>Fife</c:v>
                </c:pt>
                <c:pt idx="13">
                  <c:v>South Lanarkshire</c:v>
                </c:pt>
                <c:pt idx="14">
                  <c:v>Eilean Siar</c:v>
                </c:pt>
                <c:pt idx="15">
                  <c:v>South Ayrshire</c:v>
                </c:pt>
                <c:pt idx="16">
                  <c:v>West Lothian</c:v>
                </c:pt>
                <c:pt idx="17">
                  <c:v>Angus</c:v>
                </c:pt>
                <c:pt idx="18">
                  <c:v>West Dunbartonshire</c:v>
                </c:pt>
                <c:pt idx="19">
                  <c:v>Midlothian</c:v>
                </c:pt>
                <c:pt idx="20">
                  <c:v>Moray</c:v>
                </c:pt>
                <c:pt idx="21">
                  <c:v>Dundee City</c:v>
                </c:pt>
                <c:pt idx="22">
                  <c:v>Shetland Islands</c:v>
                </c:pt>
                <c:pt idx="23">
                  <c:v>North Lanarkshire</c:v>
                </c:pt>
                <c:pt idx="24">
                  <c:v>Argyll &amp; Bute</c:v>
                </c:pt>
                <c:pt idx="25">
                  <c:v>Orkney Islands</c:v>
                </c:pt>
                <c:pt idx="26">
                  <c:v>Aberdeen City</c:v>
                </c:pt>
                <c:pt idx="27">
                  <c:v>Aberdeenshire</c:v>
                </c:pt>
                <c:pt idx="28">
                  <c:v>East Renfrewshire</c:v>
                </c:pt>
                <c:pt idx="29">
                  <c:v>Perth &amp; Kinross</c:v>
                </c:pt>
                <c:pt idx="30">
                  <c:v>Scottish Borders</c:v>
                </c:pt>
                <c:pt idx="31">
                  <c:v>Highland</c:v>
                </c:pt>
              </c:strCache>
            </c:strRef>
          </c:cat>
          <c:val>
            <c:numRef>
              <c:f>'Statistics - Older People'!$D$145:$D$176</c:f>
              <c:numCache>
                <c:formatCode>0</c:formatCode>
                <c:ptCount val="32"/>
                <c:pt idx="0">
                  <c:v>729.04586896381522</c:v>
                </c:pt>
                <c:pt idx="1">
                  <c:v>729.04586896381522</c:v>
                </c:pt>
                <c:pt idx="2">
                  <c:v>729.04586896381522</c:v>
                </c:pt>
                <c:pt idx="3">
                  <c:v>729.04586896381522</c:v>
                </c:pt>
                <c:pt idx="4">
                  <c:v>729.04586896381522</c:v>
                </c:pt>
                <c:pt idx="5">
                  <c:v>729.04586896381522</c:v>
                </c:pt>
                <c:pt idx="6">
                  <c:v>729.04586896381522</c:v>
                </c:pt>
                <c:pt idx="7">
                  <c:v>729.04586896381522</c:v>
                </c:pt>
                <c:pt idx="8">
                  <c:v>729.04586896381522</c:v>
                </c:pt>
                <c:pt idx="9">
                  <c:v>729.04586896381522</c:v>
                </c:pt>
                <c:pt idx="10">
                  <c:v>729.04586896381522</c:v>
                </c:pt>
                <c:pt idx="11">
                  <c:v>729.04586896381522</c:v>
                </c:pt>
                <c:pt idx="12">
                  <c:v>729.04586896381522</c:v>
                </c:pt>
                <c:pt idx="13">
                  <c:v>729.04586896381522</c:v>
                </c:pt>
                <c:pt idx="14">
                  <c:v>729.04586896381522</c:v>
                </c:pt>
                <c:pt idx="15">
                  <c:v>729.04586896381522</c:v>
                </c:pt>
                <c:pt idx="16">
                  <c:v>729.04586896381522</c:v>
                </c:pt>
                <c:pt idx="17">
                  <c:v>729.04586896381522</c:v>
                </c:pt>
                <c:pt idx="18">
                  <c:v>729.04586896381522</c:v>
                </c:pt>
                <c:pt idx="19">
                  <c:v>729.04586896381522</c:v>
                </c:pt>
                <c:pt idx="20">
                  <c:v>729.04586896381522</c:v>
                </c:pt>
                <c:pt idx="21">
                  <c:v>729.04586896381522</c:v>
                </c:pt>
                <c:pt idx="22">
                  <c:v>729.04586896381522</c:v>
                </c:pt>
                <c:pt idx="23">
                  <c:v>729.04586896381522</c:v>
                </c:pt>
                <c:pt idx="24">
                  <c:v>729.04586896381522</c:v>
                </c:pt>
                <c:pt idx="25">
                  <c:v>729.04586896381522</c:v>
                </c:pt>
                <c:pt idx="26">
                  <c:v>729.04586896381522</c:v>
                </c:pt>
                <c:pt idx="27">
                  <c:v>729.04586896381522</c:v>
                </c:pt>
                <c:pt idx="28">
                  <c:v>729.04586896381522</c:v>
                </c:pt>
                <c:pt idx="29">
                  <c:v>729.04586896381522</c:v>
                </c:pt>
                <c:pt idx="30">
                  <c:v>729.04586896381522</c:v>
                </c:pt>
                <c:pt idx="31">
                  <c:v>729.04586896381522</c:v>
                </c:pt>
              </c:numCache>
            </c:numRef>
          </c:val>
          <c:smooth val="0"/>
        </c:ser>
        <c:dLbls>
          <c:showLegendKey val="0"/>
          <c:showVal val="0"/>
          <c:showCatName val="0"/>
          <c:showSerName val="0"/>
          <c:showPercent val="0"/>
          <c:showBubbleSize val="0"/>
        </c:dLbls>
        <c:marker val="1"/>
        <c:smooth val="0"/>
        <c:axId val="345964928"/>
        <c:axId val="345966464"/>
      </c:lineChart>
      <c:catAx>
        <c:axId val="3459571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958656"/>
        <c:crosses val="autoZero"/>
        <c:auto val="0"/>
        <c:lblAlgn val="ctr"/>
        <c:lblOffset val="100"/>
        <c:tickLblSkip val="1"/>
        <c:tickMarkSkip val="1"/>
        <c:noMultiLvlLbl val="0"/>
      </c:catAx>
      <c:valAx>
        <c:axId val="3459586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2764378478664197E-3"/>
              <c:y val="8.6816720257234734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957120"/>
        <c:crosses val="autoZero"/>
        <c:crossBetween val="between"/>
      </c:valAx>
      <c:catAx>
        <c:axId val="345964928"/>
        <c:scaling>
          <c:orientation val="minMax"/>
        </c:scaling>
        <c:delete val="1"/>
        <c:axPos val="b"/>
        <c:majorTickMark val="out"/>
        <c:minorTickMark val="none"/>
        <c:tickLblPos val="nextTo"/>
        <c:crossAx val="345966464"/>
        <c:crosses val="autoZero"/>
        <c:auto val="0"/>
        <c:lblAlgn val="ctr"/>
        <c:lblOffset val="100"/>
        <c:noMultiLvlLbl val="0"/>
      </c:catAx>
      <c:valAx>
        <c:axId val="345966464"/>
        <c:scaling>
          <c:orientation val="minMax"/>
        </c:scaling>
        <c:delete val="1"/>
        <c:axPos val="l"/>
        <c:numFmt formatCode="0" sourceLinked="1"/>
        <c:majorTickMark val="out"/>
        <c:minorTickMark val="none"/>
        <c:tickLblPos val="nextTo"/>
        <c:crossAx val="34596492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Older people receiving intensive home care (10+ hours per week)
(rate per 1,000 population aged 65+)</a:t>
            </a:r>
          </a:p>
        </c:rich>
      </c:tx>
      <c:layout>
        <c:manualLayout>
          <c:xMode val="edge"/>
          <c:yMode val="edge"/>
          <c:x val="0.12384484375437174"/>
          <c:y val="2.1582733812949641E-2"/>
        </c:manualLayout>
      </c:layout>
      <c:overlay val="0"/>
      <c:spPr>
        <a:noFill/>
        <a:ln w="25400">
          <a:noFill/>
        </a:ln>
      </c:spPr>
    </c:title>
    <c:autoTitleDeleted val="0"/>
    <c:plotArea>
      <c:layout>
        <c:manualLayout>
          <c:layoutTarget val="inner"/>
          <c:xMode val="edge"/>
          <c:yMode val="edge"/>
          <c:x val="0.12754170476196494"/>
          <c:y val="0.26618705035971224"/>
          <c:w val="0.84103587922744993"/>
          <c:h val="0.52877697841726623"/>
        </c:manualLayout>
      </c:layout>
      <c:lineChart>
        <c:grouping val="standard"/>
        <c:varyColors val="0"/>
        <c:ser>
          <c:idx val="0"/>
          <c:order val="0"/>
          <c:tx>
            <c:strRef>
              <c:f>Scotland!$K$624</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Scotland!$L$623:$Q$623</c:f>
              <c:strCache>
                <c:ptCount val="6"/>
                <c:pt idx="0">
                  <c:v>2003/04</c:v>
                </c:pt>
                <c:pt idx="1">
                  <c:v>2004/05</c:v>
                </c:pt>
                <c:pt idx="2">
                  <c:v>2005/06</c:v>
                </c:pt>
                <c:pt idx="3">
                  <c:v>2006/07</c:v>
                </c:pt>
                <c:pt idx="4">
                  <c:v>2007/08</c:v>
                </c:pt>
                <c:pt idx="5">
                  <c:v>2008/09</c:v>
                </c:pt>
              </c:strCache>
            </c:strRef>
          </c:cat>
          <c:val>
            <c:numRef>
              <c:f>Scotland!$L$624:$Q$624</c:f>
              <c:numCache>
                <c:formatCode>0.0</c:formatCode>
                <c:ptCount val="6"/>
                <c:pt idx="0">
                  <c:v>#N/A</c:v>
                </c:pt>
                <c:pt idx="1">
                  <c:v>#N/A</c:v>
                </c:pt>
                <c:pt idx="2">
                  <c:v>#N/A</c:v>
                </c:pt>
                <c:pt idx="3">
                  <c:v>#N/A</c:v>
                </c:pt>
                <c:pt idx="4">
                  <c:v>#N/A</c:v>
                </c:pt>
                <c:pt idx="5">
                  <c:v>#N/A</c:v>
                </c:pt>
              </c:numCache>
            </c:numRef>
          </c:val>
          <c:smooth val="0"/>
        </c:ser>
        <c:ser>
          <c:idx val="1"/>
          <c:order val="1"/>
          <c:tx>
            <c:strRef>
              <c:f>Scotland!$K$625</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Scotland!$L$623:$Q$623</c:f>
              <c:strCache>
                <c:ptCount val="6"/>
                <c:pt idx="0">
                  <c:v>2003/04</c:v>
                </c:pt>
                <c:pt idx="1">
                  <c:v>2004/05</c:v>
                </c:pt>
                <c:pt idx="2">
                  <c:v>2005/06</c:v>
                </c:pt>
                <c:pt idx="3">
                  <c:v>2006/07</c:v>
                </c:pt>
                <c:pt idx="4">
                  <c:v>2007/08</c:v>
                </c:pt>
                <c:pt idx="5">
                  <c:v>2008/09</c:v>
                </c:pt>
              </c:strCache>
            </c:strRef>
          </c:cat>
          <c:val>
            <c:numRef>
              <c:f>Scotland!$L$625:$Q$625</c:f>
              <c:numCache>
                <c:formatCode>0.0</c:formatCode>
                <c:ptCount val="6"/>
                <c:pt idx="0">
                  <c:v>16.804937658717279</c:v>
                </c:pt>
                <c:pt idx="1">
                  <c:v>17.299875947980933</c:v>
                </c:pt>
                <c:pt idx="2">
                  <c:v>17.899860252199829</c:v>
                </c:pt>
                <c:pt idx="3">
                  <c:v>17.527679525441215</c:v>
                </c:pt>
                <c:pt idx="4">
                  <c:v>17.893283850222627</c:v>
                </c:pt>
                <c:pt idx="5">
                  <c:v>17.354556854135151</c:v>
                </c:pt>
              </c:numCache>
            </c:numRef>
          </c:val>
          <c:smooth val="0"/>
        </c:ser>
        <c:ser>
          <c:idx val="2"/>
          <c:order val="2"/>
          <c:tx>
            <c:strRef>
              <c:f>Scotland!$K$626</c:f>
              <c:strCache>
                <c:ptCount val="1"/>
                <c:pt idx="0">
                  <c:v>Min</c:v>
                </c:pt>
              </c:strCache>
            </c:strRef>
          </c:tx>
          <c:spPr>
            <a:ln w="25400">
              <a:solidFill>
                <a:srgbClr val="000000"/>
              </a:solidFill>
              <a:prstDash val="sysDash"/>
            </a:ln>
          </c:spPr>
          <c:marker>
            <c:symbol val="none"/>
          </c:marker>
          <c:val>
            <c:numRef>
              <c:f>Scotland!$L$626:$Q$626</c:f>
              <c:numCache>
                <c:formatCode>0.0</c:formatCode>
                <c:ptCount val="6"/>
                <c:pt idx="0">
                  <c:v>4.2897768352050898</c:v>
                </c:pt>
                <c:pt idx="1">
                  <c:v>5.1727410782080483</c:v>
                </c:pt>
                <c:pt idx="2">
                  <c:v>4.1318477251624888</c:v>
                </c:pt>
                <c:pt idx="3">
                  <c:v>4.6013667425968112</c:v>
                </c:pt>
                <c:pt idx="4">
                  <c:v>4.7994976226787474</c:v>
                </c:pt>
                <c:pt idx="5">
                  <c:v>4.6916024620152372</c:v>
                </c:pt>
              </c:numCache>
            </c:numRef>
          </c:val>
          <c:smooth val="0"/>
        </c:ser>
        <c:ser>
          <c:idx val="3"/>
          <c:order val="3"/>
          <c:tx>
            <c:strRef>
              <c:f>Scotland!$K$627</c:f>
              <c:strCache>
                <c:ptCount val="1"/>
                <c:pt idx="0">
                  <c:v>Max</c:v>
                </c:pt>
              </c:strCache>
            </c:strRef>
          </c:tx>
          <c:spPr>
            <a:ln w="25400">
              <a:solidFill>
                <a:srgbClr val="000000"/>
              </a:solidFill>
              <a:prstDash val="sysDash"/>
            </a:ln>
          </c:spPr>
          <c:marker>
            <c:symbol val="none"/>
          </c:marker>
          <c:val>
            <c:numRef>
              <c:f>Scotland!$L$627:$Q$627</c:f>
              <c:numCache>
                <c:formatCode>0.0</c:formatCode>
                <c:ptCount val="6"/>
                <c:pt idx="0">
                  <c:v>31.561874770625906</c:v>
                </c:pt>
                <c:pt idx="1">
                  <c:v>32.767194369039323</c:v>
                </c:pt>
                <c:pt idx="2">
                  <c:v>33.264184590748627</c:v>
                </c:pt>
                <c:pt idx="3">
                  <c:v>32.743058962032762</c:v>
                </c:pt>
                <c:pt idx="4">
                  <c:v>34.329668698910503</c:v>
                </c:pt>
                <c:pt idx="5">
                  <c:v>35.03688092729189</c:v>
                </c:pt>
              </c:numCache>
            </c:numRef>
          </c:val>
          <c:smooth val="0"/>
        </c:ser>
        <c:dLbls>
          <c:showLegendKey val="0"/>
          <c:showVal val="0"/>
          <c:showCatName val="0"/>
          <c:showSerName val="0"/>
          <c:showPercent val="0"/>
          <c:showBubbleSize val="0"/>
        </c:dLbls>
        <c:marker val="1"/>
        <c:smooth val="0"/>
        <c:axId val="346004480"/>
        <c:axId val="346014464"/>
      </c:lineChart>
      <c:catAx>
        <c:axId val="346004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014464"/>
        <c:crosses val="autoZero"/>
        <c:auto val="1"/>
        <c:lblAlgn val="ctr"/>
        <c:lblOffset val="100"/>
        <c:tickLblSkip val="1"/>
        <c:tickMarkSkip val="1"/>
        <c:noMultiLvlLbl val="0"/>
      </c:catAx>
      <c:valAx>
        <c:axId val="3460144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242152518982966E-3"/>
              <c:y val="0.226618705035971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004480"/>
        <c:crosses val="autoZero"/>
        <c:crossBetween val="between"/>
      </c:valAx>
      <c:spPr>
        <a:noFill/>
        <a:ln w="25400">
          <a:noFill/>
        </a:ln>
      </c:spPr>
    </c:plotArea>
    <c:legend>
      <c:legendPos val="r"/>
      <c:legendEntry>
        <c:idx val="0"/>
        <c:delete val="1"/>
      </c:legendEntry>
      <c:layout>
        <c:manualLayout>
          <c:xMode val="edge"/>
          <c:yMode val="edge"/>
          <c:x val="0.31608161614921743"/>
          <c:y val="0.8920863309352518"/>
          <c:w val="0.46580448695674148"/>
          <c:h val="8.633093525179856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Projected percentage change for older people
(2008 based estimates)</a:t>
            </a:r>
          </a:p>
        </c:rich>
      </c:tx>
      <c:layout>
        <c:manualLayout>
          <c:xMode val="edge"/>
          <c:yMode val="edge"/>
          <c:x val="0.20370407209214425"/>
          <c:y val="2.9126305642905678E-2"/>
        </c:manualLayout>
      </c:layout>
      <c:overlay val="0"/>
      <c:spPr>
        <a:noFill/>
        <a:ln w="25400">
          <a:noFill/>
        </a:ln>
      </c:spPr>
    </c:title>
    <c:autoTitleDeleted val="0"/>
    <c:plotArea>
      <c:layout>
        <c:manualLayout>
          <c:layoutTarget val="inner"/>
          <c:xMode val="edge"/>
          <c:yMode val="edge"/>
          <c:x val="0.11851873285361121"/>
          <c:y val="0.28155428788142156"/>
          <c:w val="0.84814968198365526"/>
          <c:h val="0.56958108812793329"/>
        </c:manualLayout>
      </c:layout>
      <c:barChart>
        <c:barDir val="col"/>
        <c:grouping val="clustered"/>
        <c:varyColors val="0"/>
        <c:ser>
          <c:idx val="1"/>
          <c:order val="0"/>
          <c:tx>
            <c:strRef>
              <c:f>Scotland!$J$394</c:f>
              <c:strCache>
                <c:ptCount val="1"/>
                <c:pt idx="0">
                  <c:v>Min</c:v>
                </c:pt>
              </c:strCache>
            </c:strRef>
          </c:tx>
          <c:spPr>
            <a:solidFill>
              <a:srgbClr val="FF0000"/>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Scotland!$K$393:$P$393</c:f>
              <c:strCache>
                <c:ptCount val="6"/>
                <c:pt idx="0">
                  <c:v>65-74 (2008-2018)</c:v>
                </c:pt>
                <c:pt idx="1">
                  <c:v>65-74 (2008-2028)</c:v>
                </c:pt>
                <c:pt idx="2">
                  <c:v>75-84 (2008-2018)</c:v>
                </c:pt>
                <c:pt idx="3">
                  <c:v>75-84 (2008-2028)</c:v>
                </c:pt>
                <c:pt idx="4">
                  <c:v>85+ (2008-2018)</c:v>
                </c:pt>
                <c:pt idx="5">
                  <c:v>85+ (2008-2028)</c:v>
                </c:pt>
              </c:strCache>
            </c:strRef>
          </c:cat>
          <c:val>
            <c:numRef>
              <c:f>Scotland!$K$394:$P$394</c:f>
              <c:numCache>
                <c:formatCode>0%</c:formatCode>
                <c:ptCount val="6"/>
                <c:pt idx="0">
                  <c:v>-3.7714285714285714E-2</c:v>
                </c:pt>
                <c:pt idx="1">
                  <c:v>-6.3346938775510203E-2</c:v>
                </c:pt>
                <c:pt idx="2">
                  <c:v>9.6317787807149516E-2</c:v>
                </c:pt>
                <c:pt idx="3">
                  <c:v>0.30320781032078103</c:v>
                </c:pt>
                <c:pt idx="4">
                  <c:v>0.18497413868677129</c:v>
                </c:pt>
                <c:pt idx="5">
                  <c:v>0.51670027176295252</c:v>
                </c:pt>
              </c:numCache>
            </c:numRef>
          </c:val>
        </c:ser>
        <c:ser>
          <c:idx val="0"/>
          <c:order val="1"/>
          <c:tx>
            <c:strRef>
              <c:f>Scotland!$J$395</c:f>
              <c:strCache>
                <c:ptCount val="1"/>
                <c:pt idx="0">
                  <c:v>Scotland</c:v>
                </c:pt>
              </c:strCache>
            </c:strRef>
          </c:tx>
          <c:spPr>
            <a:solidFill>
              <a:srgbClr val="9999FF"/>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Scotland!$K$393:$P$393</c:f>
              <c:strCache>
                <c:ptCount val="6"/>
                <c:pt idx="0">
                  <c:v>65-74 (2008-2018)</c:v>
                </c:pt>
                <c:pt idx="1">
                  <c:v>65-74 (2008-2028)</c:v>
                </c:pt>
                <c:pt idx="2">
                  <c:v>75-84 (2008-2018)</c:v>
                </c:pt>
                <c:pt idx="3">
                  <c:v>75-84 (2008-2028)</c:v>
                </c:pt>
                <c:pt idx="4">
                  <c:v>85+ (2008-2018)</c:v>
                </c:pt>
                <c:pt idx="5">
                  <c:v>85+ (2008-2028)</c:v>
                </c:pt>
              </c:strCache>
            </c:strRef>
          </c:cat>
          <c:val>
            <c:numRef>
              <c:f>Scotland!$K$395:$P$395</c:f>
              <c:numCache>
                <c:formatCode>0%</c:formatCode>
                <c:ptCount val="6"/>
                <c:pt idx="0">
                  <c:v>0.1256705782623577</c:v>
                </c:pt>
                <c:pt idx="1">
                  <c:v>0.23149115324386971</c:v>
                </c:pt>
                <c:pt idx="2">
                  <c:v>0.30710806646425082</c:v>
                </c:pt>
                <c:pt idx="3">
                  <c:v>0.52644069951535222</c:v>
                </c:pt>
                <c:pt idx="4">
                  <c:v>0.42870850421728701</c:v>
                </c:pt>
                <c:pt idx="5">
                  <c:v>1.1240965720034048</c:v>
                </c:pt>
              </c:numCache>
            </c:numRef>
          </c:val>
        </c:ser>
        <c:ser>
          <c:idx val="2"/>
          <c:order val="2"/>
          <c:tx>
            <c:strRef>
              <c:f>Scotland!$J$396</c:f>
              <c:strCache>
                <c:ptCount val="1"/>
                <c:pt idx="0">
                  <c:v>Max</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7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Scotland!$K$393:$P$393</c:f>
              <c:strCache>
                <c:ptCount val="6"/>
                <c:pt idx="0">
                  <c:v>65-74 (2008-2018)</c:v>
                </c:pt>
                <c:pt idx="1">
                  <c:v>65-74 (2008-2028)</c:v>
                </c:pt>
                <c:pt idx="2">
                  <c:v>75-84 (2008-2018)</c:v>
                </c:pt>
                <c:pt idx="3">
                  <c:v>75-84 (2008-2028)</c:v>
                </c:pt>
                <c:pt idx="4">
                  <c:v>85+ (2008-2018)</c:v>
                </c:pt>
                <c:pt idx="5">
                  <c:v>85+ (2008-2028)</c:v>
                </c:pt>
              </c:strCache>
            </c:strRef>
          </c:cat>
          <c:val>
            <c:numRef>
              <c:f>Scotland!$K$396:$P$396</c:f>
              <c:numCache>
                <c:formatCode>0%</c:formatCode>
                <c:ptCount val="6"/>
                <c:pt idx="0">
                  <c:v>0.27562385138276907</c:v>
                </c:pt>
                <c:pt idx="1">
                  <c:v>0.44011690985984103</c:v>
                </c:pt>
                <c:pt idx="2">
                  <c:v>0.5046759109964527</c:v>
                </c:pt>
                <c:pt idx="3">
                  <c:v>0.70493224932249321</c:v>
                </c:pt>
                <c:pt idx="4">
                  <c:v>0.73570948217888366</c:v>
                </c:pt>
                <c:pt idx="5">
                  <c:v>1.7612642905178211</c:v>
                </c:pt>
              </c:numCache>
            </c:numRef>
          </c:val>
        </c:ser>
        <c:dLbls>
          <c:showLegendKey val="0"/>
          <c:showVal val="0"/>
          <c:showCatName val="0"/>
          <c:showSerName val="0"/>
          <c:showPercent val="0"/>
          <c:showBubbleSize val="0"/>
        </c:dLbls>
        <c:gapWidth val="150"/>
        <c:axId val="344940928"/>
        <c:axId val="344942464"/>
      </c:barChart>
      <c:catAx>
        <c:axId val="344940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44942464"/>
        <c:crosses val="autoZero"/>
        <c:auto val="1"/>
        <c:lblAlgn val="ctr"/>
        <c:lblOffset val="100"/>
        <c:tickLblSkip val="1"/>
        <c:tickMarkSkip val="1"/>
        <c:noMultiLvlLbl val="0"/>
      </c:catAx>
      <c:valAx>
        <c:axId val="3449424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Percentage change</a:t>
                </a:r>
              </a:p>
            </c:rich>
          </c:tx>
          <c:layout>
            <c:manualLayout>
              <c:xMode val="edge"/>
              <c:yMode val="edge"/>
              <c:x val="9.2592760041883757E-3"/>
              <c:y val="0.3592244362625033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940928"/>
        <c:crosses val="autoZero"/>
        <c:crossBetween val="between"/>
      </c:valAx>
      <c:spPr>
        <a:noFill/>
        <a:ln w="25400">
          <a:noFill/>
        </a:ln>
      </c:spPr>
    </c:plotArea>
    <c:legend>
      <c:legendPos val="r"/>
      <c:layout>
        <c:manualLayout>
          <c:xMode val="edge"/>
          <c:yMode val="edge"/>
          <c:x val="0.26296343851894988"/>
          <c:y val="0.19417537095270451"/>
          <c:w val="0.45740823460690577"/>
          <c:h val="6.796137983344657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t>Older people receiving less than 10 hours per week
(rate per 1,000 population aged 65+)
</a:t>
            </a:r>
          </a:p>
        </c:rich>
      </c:tx>
      <c:layout>
        <c:manualLayout>
          <c:xMode val="edge"/>
          <c:yMode val="edge"/>
          <c:x val="0.17279427274302112"/>
          <c:y val="2.3489971374874449E-2"/>
        </c:manualLayout>
      </c:layout>
      <c:overlay val="0"/>
      <c:spPr>
        <a:noFill/>
        <a:ln w="25400">
          <a:noFill/>
        </a:ln>
      </c:spPr>
    </c:title>
    <c:autoTitleDeleted val="0"/>
    <c:plotArea>
      <c:layout>
        <c:manualLayout>
          <c:layoutTarget val="inner"/>
          <c:xMode val="edge"/>
          <c:yMode val="edge"/>
          <c:x val="0.13419129691745257"/>
          <c:y val="0.23154400355233384"/>
          <c:w val="0.81250072928101424"/>
          <c:h val="0.55704789260416543"/>
        </c:manualLayout>
      </c:layout>
      <c:lineChart>
        <c:grouping val="standard"/>
        <c:varyColors val="0"/>
        <c:ser>
          <c:idx val="0"/>
          <c:order val="0"/>
          <c:tx>
            <c:strRef>
              <c:f>Scotland!$K$579</c:f>
              <c:strCache>
                <c:ptCount val="1"/>
                <c:pt idx="0">
                  <c:v>0</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Scotland!$L$578:$Q$578</c:f>
              <c:strCache>
                <c:ptCount val="6"/>
                <c:pt idx="0">
                  <c:v>2005/06</c:v>
                </c:pt>
                <c:pt idx="1">
                  <c:v>2006/07</c:v>
                </c:pt>
                <c:pt idx="2">
                  <c:v>2007/08</c:v>
                </c:pt>
                <c:pt idx="3">
                  <c:v>2008/09</c:v>
                </c:pt>
                <c:pt idx="4">
                  <c:v>2009/10</c:v>
                </c:pt>
                <c:pt idx="5">
                  <c:v>2010/11</c:v>
                </c:pt>
              </c:strCache>
            </c:strRef>
          </c:cat>
          <c:val>
            <c:numRef>
              <c:f>Scotland!$L$579:$Q$579</c:f>
              <c:numCache>
                <c:formatCode>0.0</c:formatCode>
                <c:ptCount val="6"/>
                <c:pt idx="0">
                  <c:v>#N/A</c:v>
                </c:pt>
                <c:pt idx="1">
                  <c:v>#N/A</c:v>
                </c:pt>
                <c:pt idx="2">
                  <c:v>#N/A</c:v>
                </c:pt>
                <c:pt idx="3">
                  <c:v>#N/A</c:v>
                </c:pt>
                <c:pt idx="4">
                  <c:v>#N/A</c:v>
                </c:pt>
                <c:pt idx="5">
                  <c:v>#N/A</c:v>
                </c:pt>
              </c:numCache>
            </c:numRef>
          </c:val>
          <c:smooth val="0"/>
        </c:ser>
        <c:ser>
          <c:idx val="1"/>
          <c:order val="1"/>
          <c:tx>
            <c:strRef>
              <c:f>Scotland!$K$580</c:f>
              <c:strCache>
                <c:ptCount val="1"/>
                <c:pt idx="0">
                  <c:v>Scotland</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strRef>
              <c:f>Scotland!$L$578:$Q$578</c:f>
              <c:strCache>
                <c:ptCount val="6"/>
                <c:pt idx="0">
                  <c:v>2005/06</c:v>
                </c:pt>
                <c:pt idx="1">
                  <c:v>2006/07</c:v>
                </c:pt>
                <c:pt idx="2">
                  <c:v>2007/08</c:v>
                </c:pt>
                <c:pt idx="3">
                  <c:v>2008/09</c:v>
                </c:pt>
                <c:pt idx="4">
                  <c:v>2009/10</c:v>
                </c:pt>
                <c:pt idx="5">
                  <c:v>2010/11</c:v>
                </c:pt>
              </c:strCache>
            </c:strRef>
          </c:cat>
          <c:val>
            <c:numRef>
              <c:f>Scotland!$L$580:$Q$580</c:f>
              <c:numCache>
                <c:formatCode>0.0</c:formatCode>
                <c:ptCount val="6"/>
                <c:pt idx="0">
                  <c:v>51.744461009201849</c:v>
                </c:pt>
                <c:pt idx="1">
                  <c:v>50.20716781547744</c:v>
                </c:pt>
                <c:pt idx="2">
                  <c:v>47.3100579106518</c:v>
                </c:pt>
                <c:pt idx="3">
                  <c:v>46.109769153445889</c:v>
                </c:pt>
                <c:pt idx="4">
                  <c:v>43.665487638627901</c:v>
                </c:pt>
                <c:pt idx="5">
                  <c:v>41.131698753371261</c:v>
                </c:pt>
              </c:numCache>
            </c:numRef>
          </c:val>
          <c:smooth val="0"/>
        </c:ser>
        <c:ser>
          <c:idx val="2"/>
          <c:order val="2"/>
          <c:tx>
            <c:strRef>
              <c:f>Scotland!$K$581</c:f>
              <c:strCache>
                <c:ptCount val="1"/>
                <c:pt idx="0">
                  <c:v>Min</c:v>
                </c:pt>
              </c:strCache>
            </c:strRef>
          </c:tx>
          <c:spPr>
            <a:ln w="25400">
              <a:solidFill>
                <a:srgbClr val="000000"/>
              </a:solidFill>
              <a:prstDash val="sysDash"/>
            </a:ln>
          </c:spPr>
          <c:marker>
            <c:symbol val="none"/>
          </c:marker>
          <c:val>
            <c:numRef>
              <c:f>Scotland!$L$581:$Q$581</c:f>
              <c:numCache>
                <c:formatCode>0.0</c:formatCode>
                <c:ptCount val="6"/>
                <c:pt idx="0">
                  <c:v>31.56990211462303</c:v>
                </c:pt>
                <c:pt idx="1">
                  <c:v>24.454580425344837</c:v>
                </c:pt>
                <c:pt idx="2">
                  <c:v>22.859922178988324</c:v>
                </c:pt>
                <c:pt idx="3">
                  <c:v>19.725968971583942</c:v>
                </c:pt>
                <c:pt idx="4">
                  <c:v>20.783037682376403</c:v>
                </c:pt>
                <c:pt idx="5">
                  <c:v>20.824720959074</c:v>
                </c:pt>
              </c:numCache>
            </c:numRef>
          </c:val>
          <c:smooth val="0"/>
        </c:ser>
        <c:ser>
          <c:idx val="3"/>
          <c:order val="3"/>
          <c:tx>
            <c:strRef>
              <c:f>Scotland!$K$582</c:f>
              <c:strCache>
                <c:ptCount val="1"/>
                <c:pt idx="0">
                  <c:v>Max</c:v>
                </c:pt>
              </c:strCache>
            </c:strRef>
          </c:tx>
          <c:spPr>
            <a:ln w="25400">
              <a:solidFill>
                <a:srgbClr val="000000"/>
              </a:solidFill>
              <a:prstDash val="sysDash"/>
            </a:ln>
          </c:spPr>
          <c:marker>
            <c:symbol val="none"/>
          </c:marker>
          <c:val>
            <c:numRef>
              <c:f>Scotland!$L$582:$Q$582</c:f>
              <c:numCache>
                <c:formatCode>0.0</c:formatCode>
                <c:ptCount val="6"/>
                <c:pt idx="0">
                  <c:v>118.15995189416716</c:v>
                </c:pt>
                <c:pt idx="1">
                  <c:v>101.14672155248456</c:v>
                </c:pt>
                <c:pt idx="2">
                  <c:v>85.714285714285708</c:v>
                </c:pt>
                <c:pt idx="3">
                  <c:v>86.740331491712709</c:v>
                </c:pt>
                <c:pt idx="4">
                  <c:v>78.763440860215056</c:v>
                </c:pt>
                <c:pt idx="5">
                  <c:v>83.289404322614658</c:v>
                </c:pt>
              </c:numCache>
            </c:numRef>
          </c:val>
          <c:smooth val="0"/>
        </c:ser>
        <c:dLbls>
          <c:showLegendKey val="0"/>
          <c:showVal val="0"/>
          <c:showCatName val="0"/>
          <c:showSerName val="0"/>
          <c:showPercent val="0"/>
          <c:showBubbleSize val="0"/>
        </c:dLbls>
        <c:marker val="1"/>
        <c:smooth val="0"/>
        <c:axId val="344990464"/>
        <c:axId val="344992000"/>
      </c:lineChart>
      <c:catAx>
        <c:axId val="34499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992000"/>
        <c:crosses val="autoZero"/>
        <c:auto val="1"/>
        <c:lblAlgn val="ctr"/>
        <c:lblOffset val="100"/>
        <c:tickLblSkip val="1"/>
        <c:tickMarkSkip val="1"/>
        <c:noMultiLvlLbl val="0"/>
      </c:catAx>
      <c:valAx>
        <c:axId val="3449920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t>Rate per 1,000 population aged 65+</a:t>
                </a:r>
              </a:p>
            </c:rich>
          </c:tx>
          <c:layout>
            <c:manualLayout>
              <c:xMode val="edge"/>
              <c:yMode val="edge"/>
              <c:x val="9.1911847203734638E-3"/>
              <c:y val="0.1677855098205317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4990464"/>
        <c:crosses val="autoZero"/>
        <c:crossBetween val="between"/>
      </c:valAx>
      <c:spPr>
        <a:noFill/>
        <a:ln w="25400">
          <a:noFill/>
        </a:ln>
      </c:spPr>
    </c:plotArea>
    <c:legend>
      <c:legendPos val="r"/>
      <c:legendEntry>
        <c:idx val="0"/>
        <c:delete val="1"/>
      </c:legendEntry>
      <c:layout>
        <c:manualLayout>
          <c:xMode val="edge"/>
          <c:yMode val="edge"/>
          <c:x val="0.26470611994675575"/>
          <c:y val="0.88255178165599713"/>
          <c:w val="0.46323570990682256"/>
          <c:h val="8.053704471385525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Older people receiving less than 10 hours per week, 2008/09
(rate per 1,000 population aged 65+)</a:t>
            </a:r>
          </a:p>
        </c:rich>
      </c:tx>
      <c:layout>
        <c:manualLayout>
          <c:xMode val="edge"/>
          <c:yMode val="edge"/>
          <c:x val="0.16360308802264764"/>
          <c:y val="1.898737111132057E-2"/>
        </c:manualLayout>
      </c:layout>
      <c:overlay val="0"/>
      <c:spPr>
        <a:noFill/>
        <a:ln w="25400">
          <a:noFill/>
        </a:ln>
      </c:spPr>
    </c:title>
    <c:autoTitleDeleted val="0"/>
    <c:plotArea>
      <c:layout>
        <c:manualLayout>
          <c:layoutTarget val="inner"/>
          <c:xMode val="edge"/>
          <c:yMode val="edge"/>
          <c:x val="0.12132363830892973"/>
          <c:y val="0.23734213889150713"/>
          <c:w val="0.84558899427435863"/>
          <c:h val="0.44620322111603344"/>
        </c:manualLayout>
      </c:layout>
      <c:barChart>
        <c:barDir val="col"/>
        <c:grouping val="clustered"/>
        <c:varyColors val="0"/>
        <c:ser>
          <c:idx val="1"/>
          <c:order val="0"/>
          <c:tx>
            <c:strRef>
              <c:f>'Statistics - Older People'!$B$229</c:f>
              <c:strCache>
                <c:ptCount val="1"/>
                <c:pt idx="0">
                  <c:v>2013/14</c:v>
                </c:pt>
              </c:strCache>
            </c:strRef>
          </c:tx>
          <c:spPr>
            <a:solidFill>
              <a:srgbClr val="0000FF"/>
            </a:solidFill>
            <a:ln w="12700">
              <a:solidFill>
                <a:srgbClr val="000000"/>
              </a:solidFill>
              <a:prstDash val="solid"/>
            </a:ln>
          </c:spPr>
          <c:invertIfNegative val="0"/>
          <c:cat>
            <c:strRef>
              <c:f>'Statistics - Older People'!$A$230:$A$261</c:f>
              <c:strCache>
                <c:ptCount val="32"/>
                <c:pt idx="0">
                  <c:v>Angus</c:v>
                </c:pt>
                <c:pt idx="1">
                  <c:v>Falkirk</c:v>
                </c:pt>
                <c:pt idx="2">
                  <c:v>West Dunbartonshire</c:v>
                </c:pt>
                <c:pt idx="3">
                  <c:v>East Ayrshire</c:v>
                </c:pt>
                <c:pt idx="4">
                  <c:v>Eilean Siar</c:v>
                </c:pt>
                <c:pt idx="5">
                  <c:v>Dundee City</c:v>
                </c:pt>
                <c:pt idx="6">
                  <c:v>Inverclyde</c:v>
                </c:pt>
                <c:pt idx="7">
                  <c:v>East Renfrewshire</c:v>
                </c:pt>
                <c:pt idx="8">
                  <c:v>Renfrewshire</c:v>
                </c:pt>
                <c:pt idx="9">
                  <c:v>East Lothian</c:v>
                </c:pt>
                <c:pt idx="10">
                  <c:v>Glasgow City</c:v>
                </c:pt>
                <c:pt idx="11">
                  <c:v>North Ayrshire</c:v>
                </c:pt>
                <c:pt idx="12">
                  <c:v>Scottish Borders</c:v>
                </c:pt>
                <c:pt idx="13">
                  <c:v>South Ayrshire</c:v>
                </c:pt>
                <c:pt idx="14">
                  <c:v>West Lothian</c:v>
                </c:pt>
                <c:pt idx="15">
                  <c:v>Moray</c:v>
                </c:pt>
                <c:pt idx="16">
                  <c:v>North Lanarkshire</c:v>
                </c:pt>
                <c:pt idx="17">
                  <c:v>Clackmannanshire</c:v>
                </c:pt>
                <c:pt idx="18">
                  <c:v>South Lanarkshire</c:v>
                </c:pt>
                <c:pt idx="19">
                  <c:v>Aberdeen City</c:v>
                </c:pt>
                <c:pt idx="20">
                  <c:v>Stirling</c:v>
                </c:pt>
                <c:pt idx="21">
                  <c:v>Midlothian</c:v>
                </c:pt>
                <c:pt idx="22">
                  <c:v>Argyll &amp; Bute</c:v>
                </c:pt>
                <c:pt idx="23">
                  <c:v>Perth &amp; Kinross</c:v>
                </c:pt>
                <c:pt idx="24">
                  <c:v>Fife</c:v>
                </c:pt>
                <c:pt idx="25">
                  <c:v>Edinburgh</c:v>
                </c:pt>
                <c:pt idx="26">
                  <c:v>Aberdeenshire</c:v>
                </c:pt>
                <c:pt idx="27">
                  <c:v>Highland</c:v>
                </c:pt>
                <c:pt idx="28">
                  <c:v>Dumfries &amp; Galloway</c:v>
                </c:pt>
                <c:pt idx="29">
                  <c:v>East Dunbartonshire</c:v>
                </c:pt>
                <c:pt idx="30">
                  <c:v>Orkney Islands</c:v>
                </c:pt>
                <c:pt idx="31">
                  <c:v>Shetland Islands</c:v>
                </c:pt>
              </c:strCache>
            </c:strRef>
          </c:cat>
          <c:val>
            <c:numRef>
              <c:f>'Statistics - Older People'!$B$230:$B$261</c:f>
              <c:numCache>
                <c:formatCode>0.0</c:formatCode>
                <c:ptCount val="32"/>
                <c:pt idx="0">
                  <c:v>55.007217259002068</c:v>
                </c:pt>
                <c:pt idx="1">
                  <c:v>53.288508994671147</c:v>
                </c:pt>
                <c:pt idx="2">
                  <c:v>52.72854329458103</c:v>
                </c:pt>
                <c:pt idx="3">
                  <c:v>52.574876104287867</c:v>
                </c:pt>
                <c:pt idx="4">
                  <c:v>46.540490226497056</c:v>
                </c:pt>
                <c:pt idx="5">
                  <c:v>44.968212125910995</c:v>
                </c:pt>
                <c:pt idx="6">
                  <c:v>44.611560767318842</c:v>
                </c:pt>
                <c:pt idx="7">
                  <c:v>42.399231160608288</c:v>
                </c:pt>
                <c:pt idx="8">
                  <c:v>40.628641617586851</c:v>
                </c:pt>
                <c:pt idx="9">
                  <c:v>38.46942962659007</c:v>
                </c:pt>
                <c:pt idx="10">
                  <c:v>37.470221349646245</c:v>
                </c:pt>
                <c:pt idx="11">
                  <c:v>35.802035802035803</c:v>
                </c:pt>
                <c:pt idx="12">
                  <c:v>35.699365766586915</c:v>
                </c:pt>
                <c:pt idx="13">
                  <c:v>34.880194115862906</c:v>
                </c:pt>
                <c:pt idx="14" formatCode="#,##0.0">
                  <c:v>34.27939550313306</c:v>
                </c:pt>
                <c:pt idx="15">
                  <c:v>34.210526315789473</c:v>
                </c:pt>
                <c:pt idx="16">
                  <c:v>32.486494378741426</c:v>
                </c:pt>
                <c:pt idx="17">
                  <c:v>32.157787544216959</c:v>
                </c:pt>
                <c:pt idx="18">
                  <c:v>31.245660324954866</c:v>
                </c:pt>
                <c:pt idx="19">
                  <c:v>30.938968506465077</c:v>
                </c:pt>
                <c:pt idx="20">
                  <c:v>30.220431381844037</c:v>
                </c:pt>
                <c:pt idx="21">
                  <c:v>30.103119195542178</c:v>
                </c:pt>
                <c:pt idx="22">
                  <c:v>28.419856006062904</c:v>
                </c:pt>
                <c:pt idx="23">
                  <c:v>27.986222167548281</c:v>
                </c:pt>
                <c:pt idx="24">
                  <c:v>27.721880584833176</c:v>
                </c:pt>
                <c:pt idx="25">
                  <c:v>27.367936159546936</c:v>
                </c:pt>
                <c:pt idx="26">
                  <c:v>27.299729186686466</c:v>
                </c:pt>
                <c:pt idx="27">
                  <c:v>25.825262938665002</c:v>
                </c:pt>
                <c:pt idx="28">
                  <c:v>20.411016356773381</c:v>
                </c:pt>
                <c:pt idx="29">
                  <c:v>19.006364922206508</c:v>
                </c:pt>
                <c:pt idx="30">
                  <c:v>0</c:v>
                </c:pt>
                <c:pt idx="31">
                  <c:v>0</c:v>
                </c:pt>
              </c:numCache>
            </c:numRef>
          </c:val>
        </c:ser>
        <c:dLbls>
          <c:showLegendKey val="0"/>
          <c:showVal val="0"/>
          <c:showCatName val="0"/>
          <c:showSerName val="0"/>
          <c:showPercent val="0"/>
          <c:showBubbleSize val="0"/>
        </c:dLbls>
        <c:gapWidth val="150"/>
        <c:overlap val="100"/>
        <c:axId val="345038208"/>
        <c:axId val="345048192"/>
      </c:barChart>
      <c:lineChart>
        <c:grouping val="standard"/>
        <c:varyColors val="0"/>
        <c:ser>
          <c:idx val="2"/>
          <c:order val="1"/>
          <c:tx>
            <c:strRef>
              <c:f>'Statistics - Older People'!$D$229</c:f>
              <c:strCache>
                <c:ptCount val="1"/>
                <c:pt idx="0">
                  <c:v>Scotland</c:v>
                </c:pt>
              </c:strCache>
            </c:strRef>
          </c:tx>
          <c:spPr>
            <a:ln w="25400">
              <a:solidFill>
                <a:srgbClr val="000000"/>
              </a:solidFill>
              <a:prstDash val="solid"/>
            </a:ln>
          </c:spPr>
          <c:marker>
            <c:symbol val="none"/>
          </c:marker>
          <c:cat>
            <c:strRef>
              <c:f>'Statistics - Older People'!$A$230:$A$261</c:f>
              <c:strCache>
                <c:ptCount val="32"/>
                <c:pt idx="0">
                  <c:v>Angus</c:v>
                </c:pt>
                <c:pt idx="1">
                  <c:v>Falkirk</c:v>
                </c:pt>
                <c:pt idx="2">
                  <c:v>West Dunbartonshire</c:v>
                </c:pt>
                <c:pt idx="3">
                  <c:v>East Ayrshire</c:v>
                </c:pt>
                <c:pt idx="4">
                  <c:v>Eilean Siar</c:v>
                </c:pt>
                <c:pt idx="5">
                  <c:v>Dundee City</c:v>
                </c:pt>
                <c:pt idx="6">
                  <c:v>Inverclyde</c:v>
                </c:pt>
                <c:pt idx="7">
                  <c:v>East Renfrewshire</c:v>
                </c:pt>
                <c:pt idx="8">
                  <c:v>Renfrewshire</c:v>
                </c:pt>
                <c:pt idx="9">
                  <c:v>East Lothian</c:v>
                </c:pt>
                <c:pt idx="10">
                  <c:v>Glasgow City</c:v>
                </c:pt>
                <c:pt idx="11">
                  <c:v>North Ayrshire</c:v>
                </c:pt>
                <c:pt idx="12">
                  <c:v>Scottish Borders</c:v>
                </c:pt>
                <c:pt idx="13">
                  <c:v>South Ayrshire</c:v>
                </c:pt>
                <c:pt idx="14">
                  <c:v>West Lothian</c:v>
                </c:pt>
                <c:pt idx="15">
                  <c:v>Moray</c:v>
                </c:pt>
                <c:pt idx="16">
                  <c:v>North Lanarkshire</c:v>
                </c:pt>
                <c:pt idx="17">
                  <c:v>Clackmannanshire</c:v>
                </c:pt>
                <c:pt idx="18">
                  <c:v>South Lanarkshire</c:v>
                </c:pt>
                <c:pt idx="19">
                  <c:v>Aberdeen City</c:v>
                </c:pt>
                <c:pt idx="20">
                  <c:v>Stirling</c:v>
                </c:pt>
                <c:pt idx="21">
                  <c:v>Midlothian</c:v>
                </c:pt>
                <c:pt idx="22">
                  <c:v>Argyll &amp; Bute</c:v>
                </c:pt>
                <c:pt idx="23">
                  <c:v>Perth &amp; Kinross</c:v>
                </c:pt>
                <c:pt idx="24">
                  <c:v>Fife</c:v>
                </c:pt>
                <c:pt idx="25">
                  <c:v>Edinburgh</c:v>
                </c:pt>
                <c:pt idx="26">
                  <c:v>Aberdeenshire</c:v>
                </c:pt>
                <c:pt idx="27">
                  <c:v>Highland</c:v>
                </c:pt>
                <c:pt idx="28">
                  <c:v>Dumfries &amp; Galloway</c:v>
                </c:pt>
                <c:pt idx="29">
                  <c:v>East Dunbartonshire</c:v>
                </c:pt>
                <c:pt idx="30">
                  <c:v>Orkney Islands</c:v>
                </c:pt>
                <c:pt idx="31">
                  <c:v>Shetland Islands</c:v>
                </c:pt>
              </c:strCache>
            </c:strRef>
          </c:cat>
          <c:val>
            <c:numRef>
              <c:f>'Statistics - Older People'!$D$230:$D$261</c:f>
              <c:numCache>
                <c:formatCode>0.0</c:formatCode>
                <c:ptCount val="32"/>
                <c:pt idx="0">
                  <c:v>33.942971264646751</c:v>
                </c:pt>
                <c:pt idx="1">
                  <c:v>33.942971264646751</c:v>
                </c:pt>
                <c:pt idx="2">
                  <c:v>33.942971264646751</c:v>
                </c:pt>
                <c:pt idx="3">
                  <c:v>33.942971264646751</c:v>
                </c:pt>
                <c:pt idx="4">
                  <c:v>33.942971264646751</c:v>
                </c:pt>
                <c:pt idx="5">
                  <c:v>33.942971264646751</c:v>
                </c:pt>
                <c:pt idx="6">
                  <c:v>33.942971264646751</c:v>
                </c:pt>
                <c:pt idx="7">
                  <c:v>33.942971264646751</c:v>
                </c:pt>
                <c:pt idx="8">
                  <c:v>33.942971264646751</c:v>
                </c:pt>
                <c:pt idx="9">
                  <c:v>33.942971264646751</c:v>
                </c:pt>
                <c:pt idx="10">
                  <c:v>33.942971264646751</c:v>
                </c:pt>
                <c:pt idx="11">
                  <c:v>33.942971264646751</c:v>
                </c:pt>
                <c:pt idx="12">
                  <c:v>33.942971264646751</c:v>
                </c:pt>
                <c:pt idx="13">
                  <c:v>33.942971264646751</c:v>
                </c:pt>
                <c:pt idx="14">
                  <c:v>33.942971264646751</c:v>
                </c:pt>
                <c:pt idx="15">
                  <c:v>33.942971264646751</c:v>
                </c:pt>
                <c:pt idx="16">
                  <c:v>33.942971264646751</c:v>
                </c:pt>
                <c:pt idx="17">
                  <c:v>33.942971264646751</c:v>
                </c:pt>
                <c:pt idx="18">
                  <c:v>33.942971264646751</c:v>
                </c:pt>
                <c:pt idx="19">
                  <c:v>33.942971264646751</c:v>
                </c:pt>
                <c:pt idx="20">
                  <c:v>33.942971264646751</c:v>
                </c:pt>
                <c:pt idx="21">
                  <c:v>33.942971264646751</c:v>
                </c:pt>
                <c:pt idx="22">
                  <c:v>33.942971264646751</c:v>
                </c:pt>
                <c:pt idx="23">
                  <c:v>33.942971264646751</c:v>
                </c:pt>
                <c:pt idx="24">
                  <c:v>33.942971264646751</c:v>
                </c:pt>
                <c:pt idx="25">
                  <c:v>33.942971264646751</c:v>
                </c:pt>
                <c:pt idx="26">
                  <c:v>33.942971264646751</c:v>
                </c:pt>
                <c:pt idx="27">
                  <c:v>33.942971264646751</c:v>
                </c:pt>
                <c:pt idx="28">
                  <c:v>33.942971264646751</c:v>
                </c:pt>
                <c:pt idx="29">
                  <c:v>33.942971264646751</c:v>
                </c:pt>
                <c:pt idx="30">
                  <c:v>33.942971264646751</c:v>
                </c:pt>
                <c:pt idx="31">
                  <c:v>33.942971264646751</c:v>
                </c:pt>
              </c:numCache>
            </c:numRef>
          </c:val>
          <c:smooth val="0"/>
        </c:ser>
        <c:dLbls>
          <c:showLegendKey val="0"/>
          <c:showVal val="0"/>
          <c:showCatName val="0"/>
          <c:showSerName val="0"/>
          <c:showPercent val="0"/>
          <c:showBubbleSize val="0"/>
        </c:dLbls>
        <c:marker val="1"/>
        <c:smooth val="0"/>
        <c:axId val="345050112"/>
        <c:axId val="345056000"/>
      </c:lineChart>
      <c:catAx>
        <c:axId val="34503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5048192"/>
        <c:crosses val="autoZero"/>
        <c:auto val="0"/>
        <c:lblAlgn val="ctr"/>
        <c:lblOffset val="100"/>
        <c:tickLblSkip val="1"/>
        <c:tickMarkSkip val="1"/>
        <c:noMultiLvlLbl val="0"/>
      </c:catAx>
      <c:valAx>
        <c:axId val="345048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65+</a:t>
                </a:r>
              </a:p>
            </c:rich>
          </c:tx>
          <c:layout>
            <c:manualLayout>
              <c:xMode val="edge"/>
              <c:yMode val="edge"/>
              <c:x val="9.1911847203734638E-3"/>
              <c:y val="0.1392407214830175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038208"/>
        <c:crosses val="autoZero"/>
        <c:crossBetween val="between"/>
      </c:valAx>
      <c:catAx>
        <c:axId val="345050112"/>
        <c:scaling>
          <c:orientation val="minMax"/>
        </c:scaling>
        <c:delete val="1"/>
        <c:axPos val="b"/>
        <c:majorTickMark val="out"/>
        <c:minorTickMark val="none"/>
        <c:tickLblPos val="nextTo"/>
        <c:crossAx val="345056000"/>
        <c:crosses val="autoZero"/>
        <c:auto val="0"/>
        <c:lblAlgn val="ctr"/>
        <c:lblOffset val="100"/>
        <c:noMultiLvlLbl val="0"/>
      </c:catAx>
      <c:valAx>
        <c:axId val="345056000"/>
        <c:scaling>
          <c:orientation val="minMax"/>
        </c:scaling>
        <c:delete val="1"/>
        <c:axPos val="l"/>
        <c:numFmt formatCode="0.0" sourceLinked="1"/>
        <c:majorTickMark val="out"/>
        <c:minorTickMark val="none"/>
        <c:tickLblPos val="nextTo"/>
        <c:crossAx val="34505011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Children looked after away from home by age group 
(Scotland)</a:t>
            </a:r>
          </a:p>
        </c:rich>
      </c:tx>
      <c:layout>
        <c:manualLayout>
          <c:xMode val="edge"/>
          <c:yMode val="edge"/>
          <c:x val="0.21003736534815484"/>
          <c:y val="3.3707988456769575E-2"/>
        </c:manualLayout>
      </c:layout>
      <c:overlay val="0"/>
      <c:spPr>
        <a:noFill/>
        <a:ln w="25400">
          <a:noFill/>
        </a:ln>
      </c:spPr>
    </c:title>
    <c:autoTitleDeleted val="0"/>
    <c:plotArea>
      <c:layout>
        <c:manualLayout>
          <c:layoutTarget val="inner"/>
          <c:xMode val="edge"/>
          <c:yMode val="edge"/>
          <c:x val="0.14126406872973246"/>
          <c:y val="0.20224793074061748"/>
          <c:w val="0.80855091970307391"/>
          <c:h val="0.58052646786658713"/>
        </c:manualLayout>
      </c:layout>
      <c:lineChart>
        <c:grouping val="standard"/>
        <c:varyColors val="0"/>
        <c:ser>
          <c:idx val="0"/>
          <c:order val="0"/>
          <c:tx>
            <c:strRef>
              <c:f>Scotland!$J$218</c:f>
              <c:strCache>
                <c:ptCount val="1"/>
                <c:pt idx="0">
                  <c:v>0-4</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Scotland!$K$217:$O$217</c:f>
              <c:numCache>
                <c:formatCode>General</c:formatCode>
                <c:ptCount val="5"/>
                <c:pt idx="0">
                  <c:v>2005</c:v>
                </c:pt>
                <c:pt idx="1">
                  <c:v>2006</c:v>
                </c:pt>
                <c:pt idx="2">
                  <c:v>2007</c:v>
                </c:pt>
                <c:pt idx="3">
                  <c:v>2008</c:v>
                </c:pt>
                <c:pt idx="4">
                  <c:v>2009</c:v>
                </c:pt>
              </c:numCache>
            </c:numRef>
          </c:cat>
          <c:val>
            <c:numRef>
              <c:f>Scotland!$K$218:$O$218</c:f>
              <c:numCache>
                <c:formatCode>General</c:formatCode>
                <c:ptCount val="5"/>
                <c:pt idx="0">
                  <c:v>1722</c:v>
                </c:pt>
                <c:pt idx="1">
                  <c:v>1872</c:v>
                </c:pt>
                <c:pt idx="2">
                  <c:v>2161</c:v>
                </c:pt>
                <c:pt idx="3">
                  <c:v>2175</c:v>
                </c:pt>
                <c:pt idx="4">
                  <c:v>2408</c:v>
                </c:pt>
              </c:numCache>
            </c:numRef>
          </c:val>
          <c:smooth val="0"/>
        </c:ser>
        <c:ser>
          <c:idx val="1"/>
          <c:order val="1"/>
          <c:tx>
            <c:strRef>
              <c:f>Scotland!$J$219</c:f>
              <c:strCache>
                <c:ptCount val="1"/>
                <c:pt idx="0">
                  <c:v>5-11</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cat>
            <c:numRef>
              <c:f>Scotland!$K$217:$O$217</c:f>
              <c:numCache>
                <c:formatCode>General</c:formatCode>
                <c:ptCount val="5"/>
                <c:pt idx="0">
                  <c:v>2005</c:v>
                </c:pt>
                <c:pt idx="1">
                  <c:v>2006</c:v>
                </c:pt>
                <c:pt idx="2">
                  <c:v>2007</c:v>
                </c:pt>
                <c:pt idx="3">
                  <c:v>2008</c:v>
                </c:pt>
                <c:pt idx="4">
                  <c:v>2009</c:v>
                </c:pt>
              </c:numCache>
            </c:numRef>
          </c:cat>
          <c:val>
            <c:numRef>
              <c:f>Scotland!$K$219:$O$219</c:f>
              <c:numCache>
                <c:formatCode>General</c:formatCode>
                <c:ptCount val="5"/>
                <c:pt idx="0">
                  <c:v>2808</c:v>
                </c:pt>
                <c:pt idx="1">
                  <c:v>3088</c:v>
                </c:pt>
                <c:pt idx="2">
                  <c:v>3483</c:v>
                </c:pt>
                <c:pt idx="3">
                  <c:v>3693</c:v>
                </c:pt>
                <c:pt idx="4">
                  <c:v>4201</c:v>
                </c:pt>
              </c:numCache>
            </c:numRef>
          </c:val>
          <c:smooth val="0"/>
        </c:ser>
        <c:ser>
          <c:idx val="2"/>
          <c:order val="2"/>
          <c:tx>
            <c:strRef>
              <c:f>Scotland!$J$220</c:f>
              <c:strCache>
                <c:ptCount val="1"/>
                <c:pt idx="0">
                  <c:v>12-17</c:v>
                </c:pt>
              </c:strCache>
            </c:strRef>
          </c:tx>
          <c:spPr>
            <a:ln w="25400">
              <a:solidFill>
                <a:srgbClr val="339966"/>
              </a:solidFill>
              <a:prstDash val="solid"/>
            </a:ln>
          </c:spPr>
          <c:marker>
            <c:symbol val="triangle"/>
            <c:size val="5"/>
            <c:spPr>
              <a:solidFill>
                <a:srgbClr val="339966"/>
              </a:solidFill>
              <a:ln>
                <a:solidFill>
                  <a:srgbClr val="339966"/>
                </a:solidFill>
                <a:prstDash val="solid"/>
              </a:ln>
            </c:spPr>
          </c:marker>
          <c:cat>
            <c:numRef>
              <c:f>Scotland!$K$217:$O$217</c:f>
              <c:numCache>
                <c:formatCode>General</c:formatCode>
                <c:ptCount val="5"/>
                <c:pt idx="0">
                  <c:v>2005</c:v>
                </c:pt>
                <c:pt idx="1">
                  <c:v>2006</c:v>
                </c:pt>
                <c:pt idx="2">
                  <c:v>2007</c:v>
                </c:pt>
                <c:pt idx="3">
                  <c:v>2008</c:v>
                </c:pt>
                <c:pt idx="4">
                  <c:v>2009</c:v>
                </c:pt>
              </c:numCache>
            </c:numRef>
          </c:cat>
          <c:val>
            <c:numRef>
              <c:f>Scotland!$K$220:$O$220</c:f>
              <c:numCache>
                <c:formatCode>General</c:formatCode>
                <c:ptCount val="5"/>
                <c:pt idx="0">
                  <c:v>3356</c:v>
                </c:pt>
                <c:pt idx="1">
                  <c:v>3420</c:v>
                </c:pt>
                <c:pt idx="2">
                  <c:v>3602</c:v>
                </c:pt>
                <c:pt idx="3">
                  <c:v>3693</c:v>
                </c:pt>
                <c:pt idx="4">
                  <c:v>4527</c:v>
                </c:pt>
              </c:numCache>
            </c:numRef>
          </c:val>
          <c:smooth val="0"/>
        </c:ser>
        <c:dLbls>
          <c:showLegendKey val="0"/>
          <c:showVal val="0"/>
          <c:showCatName val="0"/>
          <c:showSerName val="0"/>
          <c:showPercent val="0"/>
          <c:showBubbleSize val="0"/>
        </c:dLbls>
        <c:marker val="1"/>
        <c:smooth val="0"/>
        <c:axId val="345084672"/>
        <c:axId val="345086592"/>
      </c:lineChart>
      <c:catAx>
        <c:axId val="34508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5086592"/>
        <c:crosses val="autoZero"/>
        <c:auto val="1"/>
        <c:lblAlgn val="ctr"/>
        <c:lblOffset val="100"/>
        <c:tickLblSkip val="1"/>
        <c:tickMarkSkip val="1"/>
        <c:noMultiLvlLbl val="0"/>
      </c:catAx>
      <c:valAx>
        <c:axId val="3450865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Number of children</a:t>
                </a:r>
              </a:p>
            </c:rich>
          </c:tx>
          <c:layout>
            <c:manualLayout>
              <c:xMode val="edge"/>
              <c:yMode val="edge"/>
              <c:x val="1.6728639717994633E-2"/>
              <c:y val="0.254682579451147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5084672"/>
        <c:crosses val="autoZero"/>
        <c:crossBetween val="between"/>
      </c:valAx>
      <c:spPr>
        <a:noFill/>
        <a:ln w="25400">
          <a:noFill/>
        </a:ln>
      </c:spPr>
    </c:plotArea>
    <c:legend>
      <c:legendPos val="r"/>
      <c:layout>
        <c:manualLayout>
          <c:xMode val="edge"/>
          <c:yMode val="edge"/>
          <c:x val="0.40520482872475888"/>
          <c:y val="0.88764369602826554"/>
          <c:w val="0.34944269633144343"/>
          <c:h val="8.988796921805221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Children aged 0-17 in residential placements, 2009
(rate per 1,000)</a:t>
            </a:r>
          </a:p>
        </c:rich>
      </c:tx>
      <c:layout>
        <c:manualLayout>
          <c:xMode val="edge"/>
          <c:yMode val="edge"/>
          <c:x val="0.17367474369674762"/>
          <c:y val="1.1389534308191455E-2"/>
        </c:manualLayout>
      </c:layout>
      <c:overlay val="0"/>
      <c:spPr>
        <a:noFill/>
        <a:ln w="25400">
          <a:noFill/>
        </a:ln>
      </c:spPr>
    </c:title>
    <c:autoTitleDeleted val="0"/>
    <c:plotArea>
      <c:layout>
        <c:manualLayout>
          <c:layoutTarget val="inner"/>
          <c:xMode val="edge"/>
          <c:yMode val="edge"/>
          <c:x val="0.17184658849993975"/>
          <c:y val="0.22095696557891423"/>
          <c:w val="0.80804459698907838"/>
          <c:h val="0.56719880854793447"/>
        </c:manualLayout>
      </c:layout>
      <c:barChart>
        <c:barDir val="col"/>
        <c:grouping val="stacked"/>
        <c:varyColors val="0"/>
        <c:ser>
          <c:idx val="0"/>
          <c:order val="0"/>
          <c:tx>
            <c:strRef>
              <c:f>'Statistics - Children'!$S$228</c:f>
              <c:strCache>
                <c:ptCount val="1"/>
                <c:pt idx="0">
                  <c:v>In residential school</c:v>
                </c:pt>
              </c:strCache>
            </c:strRef>
          </c:tx>
          <c:spPr>
            <a:solidFill>
              <a:srgbClr val="0000FF"/>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Children'!$S$229:$S$261</c:f>
              <c:numCache>
                <c:formatCode>0.00</c:formatCode>
                <c:ptCount val="33"/>
                <c:pt idx="0">
                  <c:v>0</c:v>
                </c:pt>
                <c:pt idx="1">
                  <c:v>0</c:v>
                </c:pt>
                <c:pt idx="2">
                  <c:v>0</c:v>
                </c:pt>
                <c:pt idx="3">
                  <c:v>0.79443892750744782</c:v>
                </c:pt>
                <c:pt idx="4">
                  <c:v>0</c:v>
                </c:pt>
                <c:pt idx="5">
                  <c:v>0.84081103805703739</c:v>
                </c:pt>
                <c:pt idx="6">
                  <c:v>0</c:v>
                </c:pt>
                <c:pt idx="7">
                  <c:v>0</c:v>
                </c:pt>
                <c:pt idx="8">
                  <c:v>5.544774050457444E-2</c:v>
                </c:pt>
                <c:pt idx="9">
                  <c:v>6.6746762782005073E-2</c:v>
                </c:pt>
                <c:pt idx="10">
                  <c:v>0.11050130759880659</c:v>
                </c:pt>
                <c:pt idx="11">
                  <c:v>0</c:v>
                </c:pt>
                <c:pt idx="12">
                  <c:v>0</c:v>
                </c:pt>
                <c:pt idx="13">
                  <c:v>0.15961691939345568</c:v>
                </c:pt>
                <c:pt idx="14">
                  <c:v>4.6174447060996444E-2</c:v>
                </c:pt>
                <c:pt idx="15">
                  <c:v>0.5250170630545492</c:v>
                </c:pt>
                <c:pt idx="16">
                  <c:v>0.20538700780470631</c:v>
                </c:pt>
                <c:pt idx="17">
                  <c:v>0</c:v>
                </c:pt>
                <c:pt idx="18">
                  <c:v>0.12485687433881509</c:v>
                </c:pt>
                <c:pt idx="19">
                  <c:v>0</c:v>
                </c:pt>
                <c:pt idx="20">
                  <c:v>0</c:v>
                </c:pt>
                <c:pt idx="21">
                  <c:v>0</c:v>
                </c:pt>
                <c:pt idx="22">
                  <c:v>0</c:v>
                </c:pt>
                <c:pt idx="23">
                  <c:v>5.9119125036949452E-2</c:v>
                </c:pt>
                <c:pt idx="24">
                  <c:v>0.19291053773812394</c:v>
                </c:pt>
                <c:pt idx="25">
                  <c:v>0.28507625789898794</c:v>
                </c:pt>
                <c:pt idx="26">
                  <c:v>0.16438956674216409</c:v>
                </c:pt>
                <c:pt idx="27">
                  <c:v>0</c:v>
                </c:pt>
                <c:pt idx="28">
                  <c:v>0</c:v>
                </c:pt>
                <c:pt idx="29">
                  <c:v>0</c:v>
                </c:pt>
                <c:pt idx="30">
                  <c:v>0</c:v>
                </c:pt>
                <c:pt idx="31">
                  <c:v>4.1649312786339023E-2</c:v>
                </c:pt>
                <c:pt idx="32">
                  <c:v>0</c:v>
                </c:pt>
              </c:numCache>
            </c:numRef>
          </c:val>
        </c:ser>
        <c:ser>
          <c:idx val="1"/>
          <c:order val="1"/>
          <c:tx>
            <c:strRef>
              <c:f>'Statistics - Children'!$T$228</c:f>
              <c:strCache>
                <c:ptCount val="1"/>
                <c:pt idx="0">
                  <c:v>In secure accommodation</c:v>
                </c:pt>
              </c:strCache>
            </c:strRef>
          </c:tx>
          <c:spPr>
            <a:solidFill>
              <a:srgbClr val="FF0000"/>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Children'!$T$229:$T$261</c:f>
              <c:numCache>
                <c:formatCode>0.00</c:formatCode>
                <c:ptCount val="33"/>
                <c:pt idx="0">
                  <c:v>0.24931438544003989</c:v>
                </c:pt>
                <c:pt idx="1">
                  <c:v>5.6296796712267075E-2</c:v>
                </c:pt>
                <c:pt idx="2">
                  <c:v>0.13730479834501949</c:v>
                </c:pt>
                <c:pt idx="3">
                  <c:v>0</c:v>
                </c:pt>
                <c:pt idx="4">
                  <c:v>3.7390166386240417E-2</c:v>
                </c:pt>
                <c:pt idx="5">
                  <c:v>6.8918937545658795E-2</c:v>
                </c:pt>
                <c:pt idx="6">
                  <c:v>0.12527796047480347</c:v>
                </c:pt>
                <c:pt idx="7">
                  <c:v>9.7049689440993778E-2</c:v>
                </c:pt>
                <c:pt idx="8">
                  <c:v>5.544774050457444E-2</c:v>
                </c:pt>
                <c:pt idx="9">
                  <c:v>0.26698705112802029</c:v>
                </c:pt>
                <c:pt idx="10">
                  <c:v>0.14733507679840879</c:v>
                </c:pt>
                <c:pt idx="11">
                  <c:v>8.7943012927622896E-2</c:v>
                </c:pt>
                <c:pt idx="12">
                  <c:v>0.16289297931259161</c:v>
                </c:pt>
                <c:pt idx="13">
                  <c:v>0.10641127959563713</c:v>
                </c:pt>
                <c:pt idx="14">
                  <c:v>4.6174447060996444E-2</c:v>
                </c:pt>
                <c:pt idx="15">
                  <c:v>0.10500341261090985</c:v>
                </c:pt>
                <c:pt idx="16">
                  <c:v>0.11736400445983217</c:v>
                </c:pt>
                <c:pt idx="17">
                  <c:v>0</c:v>
                </c:pt>
                <c:pt idx="18">
                  <c:v>7.5494854251376559E-2</c:v>
                </c:pt>
                <c:pt idx="19">
                  <c:v>9.7828213656818624E-2</c:v>
                </c:pt>
                <c:pt idx="20">
                  <c:v>4.1511000415110008E-2</c:v>
                </c:pt>
                <c:pt idx="21">
                  <c:v>2.5315814789499E-2</c:v>
                </c:pt>
                <c:pt idx="22">
                  <c:v>3.6583135174684471E-2</c:v>
                </c:pt>
                <c:pt idx="23">
                  <c:v>0.1182382500738989</c:v>
                </c:pt>
                <c:pt idx="24">
                  <c:v>6.4303512579374653E-2</c:v>
                </c:pt>
                <c:pt idx="25">
                  <c:v>4.7512709649831335E-2</c:v>
                </c:pt>
                <c:pt idx="26">
                  <c:v>0</c:v>
                </c:pt>
                <c:pt idx="27">
                  <c:v>0</c:v>
                </c:pt>
                <c:pt idx="28">
                  <c:v>0</c:v>
                </c:pt>
                <c:pt idx="29">
                  <c:v>0</c:v>
                </c:pt>
                <c:pt idx="30">
                  <c:v>8.8845453333925642E-2</c:v>
                </c:pt>
                <c:pt idx="31">
                  <c:v>1.3883104262113009E-2</c:v>
                </c:pt>
                <c:pt idx="32">
                  <c:v>0</c:v>
                </c:pt>
              </c:numCache>
            </c:numRef>
          </c:val>
        </c:ser>
        <c:ser>
          <c:idx val="2"/>
          <c:order val="2"/>
          <c:tx>
            <c:strRef>
              <c:f>'Statistics - Children'!$U$228</c:f>
              <c:strCache>
                <c:ptCount val="1"/>
                <c:pt idx="0">
                  <c:v>In local authority care home</c:v>
                </c:pt>
              </c:strCache>
            </c:strRef>
          </c:tx>
          <c:spPr>
            <a:solidFill>
              <a:srgbClr val="008000"/>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Children'!$U$229:$U$261</c:f>
              <c:numCache>
                <c:formatCode>0.00</c:formatCode>
                <c:ptCount val="33"/>
                <c:pt idx="0">
                  <c:v>1.9945150835203191</c:v>
                </c:pt>
                <c:pt idx="1">
                  <c:v>1.1259359342453414</c:v>
                </c:pt>
                <c:pt idx="2">
                  <c:v>0.98859454808414038</c:v>
                </c:pt>
                <c:pt idx="3">
                  <c:v>0.39721946375372391</c:v>
                </c:pt>
                <c:pt idx="4">
                  <c:v>1.1217049915872126</c:v>
                </c:pt>
                <c:pt idx="5">
                  <c:v>0.2067568126369764</c:v>
                </c:pt>
                <c:pt idx="6">
                  <c:v>0.28187541106830782</c:v>
                </c:pt>
                <c:pt idx="7">
                  <c:v>0.29114906832298137</c:v>
                </c:pt>
                <c:pt idx="8">
                  <c:v>0.22179096201829776</c:v>
                </c:pt>
                <c:pt idx="9">
                  <c:v>0.86770791616606602</c:v>
                </c:pt>
                <c:pt idx="10">
                  <c:v>0.84717669159085052</c:v>
                </c:pt>
                <c:pt idx="11">
                  <c:v>0.48368657110192592</c:v>
                </c:pt>
                <c:pt idx="12">
                  <c:v>0.38008361839604715</c:v>
                </c:pt>
                <c:pt idx="13">
                  <c:v>0.39904229848363931</c:v>
                </c:pt>
                <c:pt idx="14">
                  <c:v>0.23087223530498222</c:v>
                </c:pt>
                <c:pt idx="15">
                  <c:v>0</c:v>
                </c:pt>
                <c:pt idx="16">
                  <c:v>0.7628660289889091</c:v>
                </c:pt>
                <c:pt idx="17">
                  <c:v>0.76800000000000002</c:v>
                </c:pt>
                <c:pt idx="18">
                  <c:v>0.5178172695446982</c:v>
                </c:pt>
                <c:pt idx="19">
                  <c:v>0.53805517511250245</c:v>
                </c:pt>
                <c:pt idx="20">
                  <c:v>0.58115400581153998</c:v>
                </c:pt>
                <c:pt idx="21">
                  <c:v>0.303789777473988</c:v>
                </c:pt>
                <c:pt idx="22">
                  <c:v>0.10974940552405341</c:v>
                </c:pt>
                <c:pt idx="23">
                  <c:v>0.61483890038427436</c:v>
                </c:pt>
                <c:pt idx="24">
                  <c:v>0.64303512579374644</c:v>
                </c:pt>
                <c:pt idx="25">
                  <c:v>0.47512709649831331</c:v>
                </c:pt>
                <c:pt idx="26">
                  <c:v>0.27398261123694018</c:v>
                </c:pt>
                <c:pt idx="27">
                  <c:v>0.32896282720052639</c:v>
                </c:pt>
                <c:pt idx="28">
                  <c:v>0.41017227235438886</c:v>
                </c:pt>
                <c:pt idx="29">
                  <c:v>0.46166412159522707</c:v>
                </c:pt>
                <c:pt idx="30">
                  <c:v>0.26653636000177694</c:v>
                </c:pt>
                <c:pt idx="31">
                  <c:v>0.36096071081493825</c:v>
                </c:pt>
                <c:pt idx="32">
                  <c:v>9.6464573385424204E-2</c:v>
                </c:pt>
              </c:numCache>
            </c:numRef>
          </c:val>
        </c:ser>
        <c:ser>
          <c:idx val="3"/>
          <c:order val="3"/>
          <c:tx>
            <c:strRef>
              <c:f>'Statistics - Children'!$V$228</c:f>
              <c:strCache>
                <c:ptCount val="1"/>
                <c:pt idx="0">
                  <c:v>In voluntary care home</c:v>
                </c:pt>
              </c:strCache>
            </c:strRef>
          </c:tx>
          <c:spPr>
            <a:solidFill>
              <a:srgbClr val="99CCFF"/>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Children'!$V$229:$V$261</c:f>
              <c:numCache>
                <c:formatCode>0.00</c:formatCode>
                <c:ptCount val="33"/>
                <c:pt idx="0">
                  <c:v>0.99725754176015957</c:v>
                </c:pt>
                <c:pt idx="1">
                  <c:v>1.0133423408208073</c:v>
                </c:pt>
                <c:pt idx="2">
                  <c:v>0.31122420958204416</c:v>
                </c:pt>
                <c:pt idx="3">
                  <c:v>0.79443892750744782</c:v>
                </c:pt>
                <c:pt idx="4">
                  <c:v>0.71041316133856791</c:v>
                </c:pt>
                <c:pt idx="5">
                  <c:v>0.30324332520089869</c:v>
                </c:pt>
                <c:pt idx="6">
                  <c:v>0.50111184189921387</c:v>
                </c:pt>
                <c:pt idx="7">
                  <c:v>1.0675465838509317</c:v>
                </c:pt>
                <c:pt idx="8">
                  <c:v>1.1089548100914888</c:v>
                </c:pt>
                <c:pt idx="9">
                  <c:v>0.2002402883460152</c:v>
                </c:pt>
                <c:pt idx="10">
                  <c:v>0.47883899959482856</c:v>
                </c:pt>
                <c:pt idx="11">
                  <c:v>0.28581479201477439</c:v>
                </c:pt>
                <c:pt idx="12">
                  <c:v>0.7601672367920943</c:v>
                </c:pt>
                <c:pt idx="13">
                  <c:v>0.37243947858472998</c:v>
                </c:pt>
                <c:pt idx="14">
                  <c:v>0.50791891767096087</c:v>
                </c:pt>
                <c:pt idx="15">
                  <c:v>0.5250170630545492</c:v>
                </c:pt>
                <c:pt idx="16">
                  <c:v>0.35209201337949647</c:v>
                </c:pt>
                <c:pt idx="17">
                  <c:v>0.44800000000000001</c:v>
                </c:pt>
                <c:pt idx="18">
                  <c:v>0.37844215400369535</c:v>
                </c:pt>
                <c:pt idx="19">
                  <c:v>0.3423987477988652</c:v>
                </c:pt>
                <c:pt idx="20">
                  <c:v>0.24906600249066002</c:v>
                </c:pt>
                <c:pt idx="21">
                  <c:v>0.607579554947976</c:v>
                </c:pt>
                <c:pt idx="22">
                  <c:v>0.47558075727089816</c:v>
                </c:pt>
                <c:pt idx="23">
                  <c:v>0.22465267514040793</c:v>
                </c:pt>
                <c:pt idx="24">
                  <c:v>0.20898641588296762</c:v>
                </c:pt>
                <c:pt idx="25">
                  <c:v>0.14253812894949397</c:v>
                </c:pt>
                <c:pt idx="26">
                  <c:v>0.51143420764228831</c:v>
                </c:pt>
                <c:pt idx="27">
                  <c:v>0.42295220640067671</c:v>
                </c:pt>
                <c:pt idx="28">
                  <c:v>0</c:v>
                </c:pt>
                <c:pt idx="29">
                  <c:v>0.24858837316666077</c:v>
                </c:pt>
                <c:pt idx="30">
                  <c:v>0.17769090666785128</c:v>
                </c:pt>
                <c:pt idx="31">
                  <c:v>0.11106483409690407</c:v>
                </c:pt>
                <c:pt idx="32">
                  <c:v>0.2411614334635605</c:v>
                </c:pt>
              </c:numCache>
            </c:numRef>
          </c:val>
        </c:ser>
        <c:ser>
          <c:idx val="4"/>
          <c:order val="4"/>
          <c:tx>
            <c:strRef>
              <c:f>'Statistics - Children'!$W$228</c:f>
              <c:strCache>
                <c:ptCount val="1"/>
                <c:pt idx="0">
                  <c:v>Crisis care</c:v>
                </c:pt>
              </c:strCache>
            </c:strRef>
          </c:tx>
          <c:spPr>
            <a:solidFill>
              <a:srgbClr val="660066"/>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Children'!$W$229:$W$261</c:f>
              <c:numCache>
                <c:formatCode>0.00</c:formatCode>
                <c:ptCount val="33"/>
                <c:pt idx="0">
                  <c:v>0</c:v>
                </c:pt>
                <c:pt idx="1">
                  <c:v>0</c:v>
                </c:pt>
                <c:pt idx="2">
                  <c:v>0</c:v>
                </c:pt>
                <c:pt idx="3">
                  <c:v>0</c:v>
                </c:pt>
                <c:pt idx="4">
                  <c:v>0</c:v>
                </c:pt>
                <c:pt idx="5">
                  <c:v>0.2067568126369764</c:v>
                </c:pt>
                <c:pt idx="6">
                  <c:v>3.1319490118700867E-2</c:v>
                </c:pt>
                <c:pt idx="7">
                  <c:v>0</c:v>
                </c:pt>
                <c:pt idx="8">
                  <c:v>5.544774050457444E-2</c:v>
                </c:pt>
                <c:pt idx="9">
                  <c:v>0</c:v>
                </c:pt>
                <c:pt idx="10">
                  <c:v>0</c:v>
                </c:pt>
                <c:pt idx="11">
                  <c:v>0</c:v>
                </c:pt>
                <c:pt idx="12">
                  <c:v>0</c:v>
                </c:pt>
                <c:pt idx="13">
                  <c:v>0</c:v>
                </c:pt>
                <c:pt idx="14">
                  <c:v>0</c:v>
                </c:pt>
                <c:pt idx="15">
                  <c:v>0</c:v>
                </c:pt>
                <c:pt idx="16">
                  <c:v>0</c:v>
                </c:pt>
                <c:pt idx="17">
                  <c:v>0</c:v>
                </c:pt>
                <c:pt idx="18">
                  <c:v>1.7421889442625363E-2</c:v>
                </c:pt>
                <c:pt idx="19">
                  <c:v>0</c:v>
                </c:pt>
                <c:pt idx="20">
                  <c:v>0</c:v>
                </c:pt>
                <c:pt idx="21">
                  <c:v>0</c:v>
                </c:pt>
                <c:pt idx="22">
                  <c:v>0</c:v>
                </c:pt>
                <c:pt idx="23">
                  <c:v>0</c:v>
                </c:pt>
                <c:pt idx="24">
                  <c:v>0</c:v>
                </c:pt>
                <c:pt idx="25">
                  <c:v>0</c:v>
                </c:pt>
                <c:pt idx="26">
                  <c:v>0</c:v>
                </c:pt>
                <c:pt idx="27">
                  <c:v>0</c:v>
                </c:pt>
                <c:pt idx="28">
                  <c:v>0</c:v>
                </c:pt>
                <c:pt idx="29">
                  <c:v>0</c:v>
                </c:pt>
                <c:pt idx="30">
                  <c:v>4.4422726666962821E-2</c:v>
                </c:pt>
                <c:pt idx="31">
                  <c:v>0</c:v>
                </c:pt>
                <c:pt idx="32">
                  <c:v>0</c:v>
                </c:pt>
              </c:numCache>
            </c:numRef>
          </c:val>
        </c:ser>
        <c:ser>
          <c:idx val="5"/>
          <c:order val="5"/>
          <c:tx>
            <c:strRef>
              <c:f>'Statistics - Children'!$X$228</c:f>
              <c:strCache>
                <c:ptCount val="1"/>
                <c:pt idx="0">
                  <c:v>Other residential placement</c:v>
                </c:pt>
              </c:strCache>
            </c:strRef>
          </c:tx>
          <c:spPr>
            <a:solidFill>
              <a:srgbClr val="FFCC99"/>
            </a:solidFill>
            <a:ln w="12700">
              <a:solidFill>
                <a:srgbClr val="000000"/>
              </a:solidFill>
              <a:prstDash val="solid"/>
            </a:ln>
          </c:spPr>
          <c:invertIfNegative val="0"/>
          <c:cat>
            <c:strRef>
              <c:f>'Statistics - Children'!$R$229:$R$261</c:f>
              <c:strCache>
                <c:ptCount val="33"/>
                <c:pt idx="0">
                  <c:v>Orkney Islands</c:v>
                </c:pt>
                <c:pt idx="1">
                  <c:v>West Dunbartonshire</c:v>
                </c:pt>
                <c:pt idx="2">
                  <c:v>Glasgow City</c:v>
                </c:pt>
                <c:pt idx="3">
                  <c:v>Eilean Siar</c:v>
                </c:pt>
                <c:pt idx="4">
                  <c:v>North Ayrshire</c:v>
                </c:pt>
                <c:pt idx="5">
                  <c:v>Fife</c:v>
                </c:pt>
                <c:pt idx="6">
                  <c:v>Falkirk</c:v>
                </c:pt>
                <c:pt idx="7">
                  <c:v>Clackmannanshire</c:v>
                </c:pt>
                <c:pt idx="8">
                  <c:v>Stirling</c:v>
                </c:pt>
                <c:pt idx="9">
                  <c:v>Inverclyde</c:v>
                </c:pt>
                <c:pt idx="10">
                  <c:v>Dundee City</c:v>
                </c:pt>
                <c:pt idx="11">
                  <c:v>Highland</c:v>
                </c:pt>
                <c:pt idx="12">
                  <c:v>Midlothian</c:v>
                </c:pt>
                <c:pt idx="13">
                  <c:v>Aberdeen City</c:v>
                </c:pt>
                <c:pt idx="14">
                  <c:v>Scottish Borders</c:v>
                </c:pt>
                <c:pt idx="15">
                  <c:v>Moray</c:v>
                </c:pt>
                <c:pt idx="16">
                  <c:v>Renfrewshire</c:v>
                </c:pt>
                <c:pt idx="17">
                  <c:v>Argyll &amp; Bute</c:v>
                </c:pt>
                <c:pt idx="18">
                  <c:v>Scotland</c:v>
                </c:pt>
                <c:pt idx="19">
                  <c:v>South Ayrshire</c:v>
                </c:pt>
                <c:pt idx="20">
                  <c:v>East Ayrshire</c:v>
                </c:pt>
                <c:pt idx="21">
                  <c:v>West Lothian</c:v>
                </c:pt>
                <c:pt idx="22">
                  <c:v>Dumfries &amp; Galloway</c:v>
                </c:pt>
                <c:pt idx="23">
                  <c:v>Edinburgh</c:v>
                </c:pt>
                <c:pt idx="24">
                  <c:v>South Lanarkshire</c:v>
                </c:pt>
                <c:pt idx="25">
                  <c:v>East Dunbartonshire</c:v>
                </c:pt>
                <c:pt idx="26">
                  <c:v>Aberdeenshire</c:v>
                </c:pt>
                <c:pt idx="27">
                  <c:v>East Lothian</c:v>
                </c:pt>
                <c:pt idx="28">
                  <c:v>Shetland Islands</c:v>
                </c:pt>
                <c:pt idx="29">
                  <c:v>Perth &amp; Kinross</c:v>
                </c:pt>
                <c:pt idx="30">
                  <c:v>Angus</c:v>
                </c:pt>
                <c:pt idx="31">
                  <c:v>North Lanarkshire</c:v>
                </c:pt>
                <c:pt idx="32">
                  <c:v>East Renfrewshire</c:v>
                </c:pt>
              </c:strCache>
            </c:strRef>
          </c:cat>
          <c:val>
            <c:numRef>
              <c:f>'Statistics - Children'!$X$229:$X$261</c:f>
              <c:numCache>
                <c:formatCode>0.00</c:formatCode>
                <c:ptCount val="33"/>
                <c:pt idx="0">
                  <c:v>0</c:v>
                </c:pt>
                <c:pt idx="1">
                  <c:v>0.16889039013680121</c:v>
                </c:pt>
                <c:pt idx="2">
                  <c:v>0.75975321750910785</c:v>
                </c:pt>
                <c:pt idx="3">
                  <c:v>0</c:v>
                </c:pt>
                <c:pt idx="4">
                  <c:v>0.11217049915872125</c:v>
                </c:pt>
                <c:pt idx="5">
                  <c:v>0.24810817516437164</c:v>
                </c:pt>
                <c:pt idx="6">
                  <c:v>0.90826521344232514</c:v>
                </c:pt>
                <c:pt idx="7">
                  <c:v>0.38819875776397511</c:v>
                </c:pt>
                <c:pt idx="8">
                  <c:v>0.33268644302744665</c:v>
                </c:pt>
                <c:pt idx="9">
                  <c:v>0.33373381391002538</c:v>
                </c:pt>
                <c:pt idx="10">
                  <c:v>0.14733507679840879</c:v>
                </c:pt>
                <c:pt idx="11">
                  <c:v>0.83545862281241756</c:v>
                </c:pt>
                <c:pt idx="12">
                  <c:v>0.32578595862518323</c:v>
                </c:pt>
                <c:pt idx="13">
                  <c:v>0.55865921787709494</c:v>
                </c:pt>
                <c:pt idx="14">
                  <c:v>0.73879115297594311</c:v>
                </c:pt>
                <c:pt idx="15">
                  <c:v>0.3675119441381845</c:v>
                </c:pt>
                <c:pt idx="16">
                  <c:v>0</c:v>
                </c:pt>
                <c:pt idx="17">
                  <c:v>0.192</c:v>
                </c:pt>
                <c:pt idx="18">
                  <c:v>0.29036482404375608</c:v>
                </c:pt>
                <c:pt idx="19">
                  <c:v>0.3423987477988652</c:v>
                </c:pt>
                <c:pt idx="20">
                  <c:v>0.37359900373599003</c:v>
                </c:pt>
                <c:pt idx="21">
                  <c:v>0.202526518315992</c:v>
                </c:pt>
                <c:pt idx="22">
                  <c:v>0.51216389244558258</c:v>
                </c:pt>
                <c:pt idx="23">
                  <c:v>9.4590600059119123E-2</c:v>
                </c:pt>
                <c:pt idx="24">
                  <c:v>0</c:v>
                </c:pt>
                <c:pt idx="25">
                  <c:v>4.7512709649831335E-2</c:v>
                </c:pt>
                <c:pt idx="26">
                  <c:v>0</c:v>
                </c:pt>
                <c:pt idx="27">
                  <c:v>0.1409840688002256</c:v>
                </c:pt>
                <c:pt idx="28">
                  <c:v>0.41017227235438886</c:v>
                </c:pt>
                <c:pt idx="29">
                  <c:v>0</c:v>
                </c:pt>
                <c:pt idx="30">
                  <c:v>4.4422726666962821E-2</c:v>
                </c:pt>
                <c:pt idx="31">
                  <c:v>1.3883104262113009E-2</c:v>
                </c:pt>
                <c:pt idx="32">
                  <c:v>0</c:v>
                </c:pt>
              </c:numCache>
            </c:numRef>
          </c:val>
        </c:ser>
        <c:dLbls>
          <c:showLegendKey val="0"/>
          <c:showVal val="0"/>
          <c:showCatName val="0"/>
          <c:showSerName val="0"/>
          <c:showPercent val="0"/>
          <c:showBubbleSize val="0"/>
        </c:dLbls>
        <c:gapWidth val="150"/>
        <c:overlap val="100"/>
        <c:axId val="346465792"/>
        <c:axId val="346467328"/>
      </c:barChart>
      <c:lineChart>
        <c:grouping val="standard"/>
        <c:varyColors val="0"/>
        <c:ser>
          <c:idx val="6"/>
          <c:order val="6"/>
          <c:tx>
            <c:strRef>
              <c:f>'Statistics - Children'!$Z$228</c:f>
              <c:strCache>
                <c:ptCount val="1"/>
                <c:pt idx="0">
                  <c:v>Highlight</c:v>
                </c:pt>
              </c:strCache>
            </c:strRef>
          </c:tx>
          <c:spPr>
            <a:ln w="28575">
              <a:noFill/>
            </a:ln>
          </c:spPr>
          <c:marker>
            <c:symbol val="none"/>
          </c:marker>
          <c:val>
            <c:numRef>
              <c:f>'Statistics - Children'!$Z$229:$Z$261</c:f>
              <c:numCache>
                <c:formatCode>General</c:formatCode>
                <c:ptCount val="33"/>
                <c:pt idx="0">
                  <c:v>#N/A</c:v>
                </c:pt>
                <c:pt idx="1">
                  <c:v>#N/A</c:v>
                </c:pt>
                <c:pt idx="2">
                  <c:v>#N/A</c:v>
                </c:pt>
                <c:pt idx="3">
                  <c:v>#N/A</c:v>
                </c:pt>
                <c:pt idx="4">
                  <c:v>#N/A</c:v>
                </c:pt>
                <c:pt idx="5">
                  <c:v>#N/A</c:v>
                </c:pt>
                <c:pt idx="6">
                  <c:v>#N/A</c:v>
                </c:pt>
                <c:pt idx="7">
                  <c:v>#N/A</c:v>
                </c:pt>
                <c:pt idx="8">
                  <c:v>#N/A</c:v>
                </c:pt>
                <c:pt idx="9">
                  <c:v>#N/A</c:v>
                </c:pt>
                <c:pt idx="10">
                  <c:v>#N/A</c:v>
                </c:pt>
                <c:pt idx="11">
                  <c:v>#N/A</c:v>
                </c:pt>
                <c:pt idx="12">
                  <c:v>#N/A</c:v>
                </c:pt>
                <c:pt idx="13">
                  <c:v>0</c:v>
                </c:pt>
                <c:pt idx="14">
                  <c:v>#N/A</c:v>
                </c:pt>
                <c:pt idx="15">
                  <c:v>#N/A</c:v>
                </c:pt>
                <c:pt idx="16">
                  <c:v>#N/A</c:v>
                </c:pt>
                <c:pt idx="17">
                  <c:v>#N/A</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7"/>
          <c:order val="7"/>
          <c:tx>
            <c:strRef>
              <c:f>'Statistics - Children'!$AA$228</c:f>
              <c:strCache>
                <c:ptCount val="1"/>
                <c:pt idx="0">
                  <c:v>Don't Highlight</c:v>
                </c:pt>
              </c:strCache>
            </c:strRef>
          </c:tx>
          <c:spPr>
            <a:ln w="28575">
              <a:noFill/>
            </a:ln>
          </c:spPr>
          <c:marker>
            <c:symbol val="none"/>
          </c:marker>
          <c:val>
            <c:numRef>
              <c:f>'Statistics - Children'!$AA$229:$AA$261</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#N/A</c:v>
                </c:pt>
                <c:pt idx="14">
                  <c:v>0</c:v>
                </c:pt>
                <c:pt idx="15">
                  <c:v>0</c:v>
                </c:pt>
                <c:pt idx="16">
                  <c:v>0</c:v>
                </c:pt>
                <c:pt idx="17">
                  <c:v>0</c:v>
                </c:pt>
                <c:pt idx="18">
                  <c:v>#N/A</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46465792"/>
        <c:axId val="346467328"/>
      </c:lineChart>
      <c:catAx>
        <c:axId val="346465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6467328"/>
        <c:crosses val="autoZero"/>
        <c:auto val="0"/>
        <c:lblAlgn val="ctr"/>
        <c:lblOffset val="100"/>
        <c:tickLblSkip val="1"/>
        <c:tickMarkSkip val="1"/>
        <c:noMultiLvlLbl val="0"/>
      </c:catAx>
      <c:valAx>
        <c:axId val="346467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Rate per 1,000 population aged 0-17</a:t>
                </a:r>
              </a:p>
            </c:rich>
          </c:tx>
          <c:layout>
            <c:manualLayout>
              <c:xMode val="edge"/>
              <c:yMode val="edge"/>
              <c:x val="9.1407759840393486E-3"/>
              <c:y val="0.2414581273336588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465792"/>
        <c:crosses val="autoZero"/>
        <c:crossBetween val="between"/>
      </c:valAx>
      <c:spPr>
        <a:noFill/>
        <a:ln w="25400">
          <a:noFill/>
        </a:ln>
      </c:spPr>
    </c:plotArea>
    <c:legend>
      <c:legendPos val="b"/>
      <c:legendEntry>
        <c:idx val="6"/>
        <c:delete val="1"/>
      </c:legendEntry>
      <c:legendEntry>
        <c:idx val="7"/>
        <c:delete val="1"/>
      </c:legendEntry>
      <c:layout>
        <c:manualLayout>
          <c:xMode val="edge"/>
          <c:yMode val="edge"/>
          <c:x val="0.14076795015420596"/>
          <c:y val="0.12072906366682942"/>
          <c:w val="0.81718537297311777"/>
          <c:h val="8.2004647018978485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Children and families services
(per head of 0-17 population), 2014/15</a:t>
            </a:r>
          </a:p>
        </c:rich>
      </c:tx>
      <c:layout>
        <c:manualLayout>
          <c:xMode val="edge"/>
          <c:yMode val="edge"/>
          <c:x val="0.21546052631578946"/>
          <c:y val="3.5483926858503746E-2"/>
        </c:manualLayout>
      </c:layout>
      <c:overlay val="0"/>
      <c:spPr>
        <a:noFill/>
        <a:ln w="25400">
          <a:noFill/>
        </a:ln>
      </c:spPr>
    </c:title>
    <c:autoTitleDeleted val="0"/>
    <c:plotArea>
      <c:layout>
        <c:manualLayout>
          <c:layoutTarget val="inner"/>
          <c:xMode val="edge"/>
          <c:yMode val="edge"/>
          <c:x val="0.13486842105263158"/>
          <c:y val="0.20000031502065749"/>
          <c:w val="0.82401315789473684"/>
          <c:h val="0.50322659908423495"/>
        </c:manualLayout>
      </c:layout>
      <c:barChart>
        <c:barDir val="col"/>
        <c:grouping val="clustered"/>
        <c:varyColors val="0"/>
        <c:ser>
          <c:idx val="1"/>
          <c:order val="0"/>
          <c:tx>
            <c:strRef>
              <c:f>'Per Capita Data - C&amp;F'!$C$2</c:f>
              <c:strCache>
                <c:ptCount val="1"/>
                <c:pt idx="0">
                  <c:v>C&amp;F Spend per Capita</c:v>
                </c:pt>
              </c:strCache>
            </c:strRef>
          </c:tx>
          <c:spPr>
            <a:solidFill>
              <a:srgbClr val="0000FF"/>
            </a:solidFill>
            <a:ln w="12700">
              <a:solidFill>
                <a:srgbClr val="000000"/>
              </a:solidFill>
              <a:prstDash val="solid"/>
            </a:ln>
          </c:spPr>
          <c:invertIfNegative val="0"/>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C&amp;F'!$C$3:$C$34</c:f>
              <c:numCache>
                <c:formatCode>#,##0</c:formatCode>
                <c:ptCount val="32"/>
                <c:pt idx="0">
                  <c:v>1397.4424692894934</c:v>
                </c:pt>
                <c:pt idx="1">
                  <c:v>1125.291149068323</c:v>
                </c:pt>
                <c:pt idx="2">
                  <c:v>1123.4299605878671</c:v>
                </c:pt>
                <c:pt idx="3">
                  <c:v>1097.2982559858112</c:v>
                </c:pt>
                <c:pt idx="4">
                  <c:v>1066.9657879977565</c:v>
                </c:pt>
                <c:pt idx="5">
                  <c:v>1059.8849832756293</c:v>
                </c:pt>
                <c:pt idx="6">
                  <c:v>1028.8906624102153</c:v>
                </c:pt>
                <c:pt idx="7">
                  <c:v>1012.7153404429861</c:v>
                </c:pt>
                <c:pt idx="8">
                  <c:v>1008.4865007475157</c:v>
                </c:pt>
                <c:pt idx="9">
                  <c:v>985.53172324494733</c:v>
                </c:pt>
                <c:pt idx="10">
                  <c:v>985.30510585305115</c:v>
                </c:pt>
                <c:pt idx="11">
                  <c:v>970.26022304832713</c:v>
                </c:pt>
                <c:pt idx="12">
                  <c:v>914.56808501840135</c:v>
                </c:pt>
                <c:pt idx="13">
                  <c:v>884.65375124691548</c:v>
                </c:pt>
                <c:pt idx="14">
                  <c:v>861.78709010617308</c:v>
                </c:pt>
                <c:pt idx="15">
                  <c:v>846.67165295437553</c:v>
                </c:pt>
                <c:pt idx="16">
                  <c:v>837.60512615138157</c:v>
                </c:pt>
                <c:pt idx="17">
                  <c:v>810.01248846174735</c:v>
                </c:pt>
                <c:pt idx="18">
                  <c:v>786.50082312054144</c:v>
                </c:pt>
                <c:pt idx="19">
                  <c:v>740.41599999999994</c:v>
                </c:pt>
                <c:pt idx="20">
                  <c:v>705.26315789473676</c:v>
                </c:pt>
                <c:pt idx="21">
                  <c:v>634.99099598282316</c:v>
                </c:pt>
                <c:pt idx="22">
                  <c:v>629.95845022905644</c:v>
                </c:pt>
                <c:pt idx="23">
                  <c:v>625.56140837260875</c:v>
                </c:pt>
                <c:pt idx="24">
                  <c:v>623.73950513082491</c:v>
                </c:pt>
                <c:pt idx="25">
                  <c:v>608.58123032097376</c:v>
                </c:pt>
                <c:pt idx="26">
                  <c:v>599.47849421533624</c:v>
                </c:pt>
                <c:pt idx="27">
                  <c:v>513.89759665621739</c:v>
                </c:pt>
                <c:pt idx="28">
                  <c:v>501.40162493467</c:v>
                </c:pt>
                <c:pt idx="29">
                  <c:v>470.24548841966828</c:v>
                </c:pt>
                <c:pt idx="30">
                  <c:v>464.68138275718451</c:v>
                </c:pt>
                <c:pt idx="31">
                  <c:v>379.68456084502964</c:v>
                </c:pt>
              </c:numCache>
            </c:numRef>
          </c:val>
        </c:ser>
        <c:ser>
          <c:idx val="0"/>
          <c:order val="1"/>
          <c:tx>
            <c:strRef>
              <c:f>'Per Capita Data - C&amp;F'!$D$2</c:f>
              <c:strCache>
                <c:ptCount val="1"/>
                <c:pt idx="0">
                  <c:v>Highlight</c:v>
                </c:pt>
              </c:strCache>
            </c:strRef>
          </c:tx>
          <c:spPr>
            <a:solidFill>
              <a:srgbClr val="FFFF00"/>
            </a:solidFill>
            <a:ln w="12700">
              <a:solidFill>
                <a:srgbClr val="000000"/>
              </a:solidFill>
              <a:prstDash val="solid"/>
            </a:ln>
          </c:spPr>
          <c:invertIfNegative val="0"/>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C&amp;F'!$D$3:$D$34</c:f>
              <c:numCache>
                <c:formatCode>#,##0</c:formatCode>
                <c:ptCount val="32"/>
                <c:pt idx="0">
                  <c:v>0</c:v>
                </c:pt>
                <c:pt idx="1">
                  <c:v>0</c:v>
                </c:pt>
                <c:pt idx="2">
                  <c:v>0</c:v>
                </c:pt>
                <c:pt idx="3">
                  <c:v>0</c:v>
                </c:pt>
                <c:pt idx="4">
                  <c:v>0</c:v>
                </c:pt>
                <c:pt idx="5">
                  <c:v>0</c:v>
                </c:pt>
                <c:pt idx="6">
                  <c:v>1028.8906624102153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297653376"/>
        <c:axId val="297654912"/>
      </c:barChart>
      <c:lineChart>
        <c:grouping val="standard"/>
        <c:varyColors val="0"/>
        <c:ser>
          <c:idx val="2"/>
          <c:order val="2"/>
          <c:tx>
            <c:strRef>
              <c:f>'Per Capita Data - C&amp;F'!$E$2</c:f>
              <c:strCache>
                <c:ptCount val="1"/>
                <c:pt idx="0">
                  <c:v>Average Spend per Capita</c:v>
                </c:pt>
              </c:strCache>
            </c:strRef>
          </c:tx>
          <c:spPr>
            <a:ln w="25400">
              <a:solidFill>
                <a:srgbClr val="FF0000"/>
              </a:solidFill>
              <a:prstDash val="solid"/>
            </a:ln>
          </c:spPr>
          <c:marker>
            <c:symbol val="none"/>
          </c:marker>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C&amp;F'!$E$3:$E$34</c:f>
              <c:numCache>
                <c:formatCode>#,##0</c:formatCode>
                <c:ptCount val="32"/>
                <c:pt idx="0">
                  <c:v>856</c:v>
                </c:pt>
                <c:pt idx="1">
                  <c:v>856</c:v>
                </c:pt>
                <c:pt idx="2">
                  <c:v>856</c:v>
                </c:pt>
                <c:pt idx="3">
                  <c:v>856</c:v>
                </c:pt>
                <c:pt idx="4">
                  <c:v>856</c:v>
                </c:pt>
                <c:pt idx="5">
                  <c:v>856</c:v>
                </c:pt>
                <c:pt idx="6">
                  <c:v>856</c:v>
                </c:pt>
                <c:pt idx="7">
                  <c:v>856</c:v>
                </c:pt>
                <c:pt idx="8">
                  <c:v>856</c:v>
                </c:pt>
                <c:pt idx="9">
                  <c:v>856</c:v>
                </c:pt>
                <c:pt idx="10">
                  <c:v>856</c:v>
                </c:pt>
                <c:pt idx="11">
                  <c:v>856</c:v>
                </c:pt>
                <c:pt idx="12">
                  <c:v>856</c:v>
                </c:pt>
                <c:pt idx="13">
                  <c:v>856</c:v>
                </c:pt>
                <c:pt idx="14">
                  <c:v>856</c:v>
                </c:pt>
                <c:pt idx="15">
                  <c:v>856</c:v>
                </c:pt>
                <c:pt idx="16">
                  <c:v>856</c:v>
                </c:pt>
                <c:pt idx="17">
                  <c:v>856</c:v>
                </c:pt>
                <c:pt idx="18">
                  <c:v>856</c:v>
                </c:pt>
                <c:pt idx="19">
                  <c:v>856</c:v>
                </c:pt>
                <c:pt idx="20">
                  <c:v>856</c:v>
                </c:pt>
                <c:pt idx="21">
                  <c:v>856</c:v>
                </c:pt>
                <c:pt idx="22">
                  <c:v>856</c:v>
                </c:pt>
                <c:pt idx="23">
                  <c:v>856</c:v>
                </c:pt>
                <c:pt idx="24">
                  <c:v>856</c:v>
                </c:pt>
                <c:pt idx="25">
                  <c:v>856</c:v>
                </c:pt>
                <c:pt idx="26">
                  <c:v>856</c:v>
                </c:pt>
                <c:pt idx="27">
                  <c:v>856</c:v>
                </c:pt>
                <c:pt idx="28">
                  <c:v>856</c:v>
                </c:pt>
                <c:pt idx="29">
                  <c:v>856</c:v>
                </c:pt>
                <c:pt idx="30">
                  <c:v>856</c:v>
                </c:pt>
                <c:pt idx="31">
                  <c:v>856</c:v>
                </c:pt>
              </c:numCache>
            </c:numRef>
          </c:val>
          <c:smooth val="0"/>
        </c:ser>
        <c:dLbls>
          <c:showLegendKey val="0"/>
          <c:showVal val="0"/>
          <c:showCatName val="0"/>
          <c:showSerName val="0"/>
          <c:showPercent val="0"/>
          <c:showBubbleSize val="0"/>
        </c:dLbls>
        <c:marker val="1"/>
        <c:smooth val="0"/>
        <c:axId val="297661184"/>
        <c:axId val="297662720"/>
      </c:lineChart>
      <c:catAx>
        <c:axId val="297653376"/>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297654912"/>
        <c:crosses val="autoZero"/>
        <c:auto val="0"/>
        <c:lblAlgn val="ctr"/>
        <c:lblOffset val="100"/>
        <c:tickLblSkip val="1"/>
        <c:tickMarkSkip val="1"/>
        <c:noMultiLvlLbl val="0"/>
      </c:catAx>
      <c:valAx>
        <c:axId val="2976549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0-17 population (£)</a:t>
                </a:r>
              </a:p>
            </c:rich>
          </c:tx>
          <c:layout>
            <c:manualLayout>
              <c:xMode val="edge"/>
              <c:yMode val="edge"/>
              <c:x val="8.2236842105263153E-3"/>
              <c:y val="8.709691137996374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297653376"/>
        <c:crosses val="autoZero"/>
        <c:crossBetween val="between"/>
      </c:valAx>
      <c:catAx>
        <c:axId val="297661184"/>
        <c:scaling>
          <c:orientation val="minMax"/>
        </c:scaling>
        <c:delete val="1"/>
        <c:axPos val="b"/>
        <c:majorTickMark val="out"/>
        <c:minorTickMark val="none"/>
        <c:tickLblPos val="nextTo"/>
        <c:crossAx val="297662720"/>
        <c:crosses val="autoZero"/>
        <c:auto val="0"/>
        <c:lblAlgn val="ctr"/>
        <c:lblOffset val="100"/>
        <c:noMultiLvlLbl val="0"/>
      </c:catAx>
      <c:valAx>
        <c:axId val="297662720"/>
        <c:scaling>
          <c:orientation val="minMax"/>
        </c:scaling>
        <c:delete val="1"/>
        <c:axPos val="l"/>
        <c:numFmt formatCode="#,##0" sourceLinked="1"/>
        <c:majorTickMark val="out"/>
        <c:minorTickMark val="none"/>
        <c:tickLblPos val="nextTo"/>
        <c:crossAx val="29766118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GB"/>
              <a:t>Balance of care: Proportion of children looked after at and away from home, 2009</a:t>
            </a:r>
          </a:p>
        </c:rich>
      </c:tx>
      <c:layout>
        <c:manualLayout>
          <c:xMode val="edge"/>
          <c:yMode val="edge"/>
          <c:x val="0.13419129691745257"/>
          <c:y val="1.5822809259433808E-2"/>
        </c:manualLayout>
      </c:layout>
      <c:overlay val="0"/>
      <c:spPr>
        <a:noFill/>
        <a:ln w="25400">
          <a:noFill/>
        </a:ln>
      </c:spPr>
    </c:title>
    <c:autoTitleDeleted val="0"/>
    <c:plotArea>
      <c:layout>
        <c:manualLayout>
          <c:layoutTarget val="inner"/>
          <c:xMode val="edge"/>
          <c:yMode val="edge"/>
          <c:x val="0.11764716442078034"/>
          <c:y val="0.24683582444716742"/>
          <c:w val="0.86029488982695623"/>
          <c:h val="0.47784883963490105"/>
        </c:manualLayout>
      </c:layout>
      <c:barChart>
        <c:barDir val="col"/>
        <c:grouping val="percentStacked"/>
        <c:varyColors val="0"/>
        <c:ser>
          <c:idx val="1"/>
          <c:order val="0"/>
          <c:tx>
            <c:strRef>
              <c:f>'Statistics - Children'!$K$97</c:f>
              <c:strCache>
                <c:ptCount val="1"/>
                <c:pt idx="0">
                  <c:v>Away from home</c:v>
                </c:pt>
              </c:strCache>
            </c:strRef>
          </c:tx>
          <c:spPr>
            <a:solidFill>
              <a:srgbClr val="0000FF"/>
            </a:solidFill>
            <a:ln w="12700">
              <a:solidFill>
                <a:srgbClr val="000000"/>
              </a:solidFill>
              <a:prstDash val="solid"/>
            </a:ln>
          </c:spPr>
          <c:invertIfNegative val="0"/>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Children'!$K$98:$K$130</c:f>
              <c:numCache>
                <c:formatCode>0.0</c:formatCode>
                <c:ptCount val="33"/>
                <c:pt idx="0">
                  <c:v>7.8958304474303924</c:v>
                </c:pt>
                <c:pt idx="1">
                  <c:v>7.4931638197379167</c:v>
                </c:pt>
                <c:pt idx="2">
                  <c:v>11.402508551881414</c:v>
                </c:pt>
                <c:pt idx="3">
                  <c:v>11.564597720161546</c:v>
                </c:pt>
                <c:pt idx="4">
                  <c:v>24.467715065082476</c:v>
                </c:pt>
                <c:pt idx="5">
                  <c:v>11.252992817238628</c:v>
                </c:pt>
                <c:pt idx="6">
                  <c:v>16.538362370621385</c:v>
                </c:pt>
                <c:pt idx="7">
                  <c:v>6.482174021441037</c:v>
                </c:pt>
                <c:pt idx="8">
                  <c:v>8.3477713025673328</c:v>
                </c:pt>
                <c:pt idx="9">
                  <c:v>12.604197457877625</c:v>
                </c:pt>
                <c:pt idx="10">
                  <c:v>14.196762141967621</c:v>
                </c:pt>
                <c:pt idx="11">
                  <c:v>11.886127959303463</c:v>
                </c:pt>
                <c:pt idx="12">
                  <c:v>5.4979177321545984</c:v>
                </c:pt>
                <c:pt idx="13">
                  <c:v>10.877066308679101</c:v>
                </c:pt>
                <c:pt idx="14">
                  <c:v>15.594212689297979</c:v>
                </c:pt>
                <c:pt idx="15">
                  <c:v>7.5519999999999996</c:v>
                </c:pt>
                <c:pt idx="16">
                  <c:v>5.7965505772794224</c:v>
                </c:pt>
                <c:pt idx="17">
                  <c:v>7.7466393255866945</c:v>
                </c:pt>
                <c:pt idx="18">
                  <c:v>8.4280565566953154</c:v>
                </c:pt>
                <c:pt idx="19">
                  <c:v>6.7276404889631518</c:v>
                </c:pt>
                <c:pt idx="20">
                  <c:v>13.684006211180124</c:v>
                </c:pt>
                <c:pt idx="21">
                  <c:v>6.8612246816109774</c:v>
                </c:pt>
                <c:pt idx="22">
                  <c:v>13.4968605128807</c:v>
                </c:pt>
                <c:pt idx="23">
                  <c:v>7.673275079081713</c:v>
                </c:pt>
                <c:pt idx="24">
                  <c:v>5.8194678884334055</c:v>
                </c:pt>
                <c:pt idx="25">
                  <c:v>4.7169811320754711</c:v>
                </c:pt>
                <c:pt idx="26">
                  <c:v>7.4630180800497534</c:v>
                </c:pt>
                <c:pt idx="27">
                  <c:v>14.993456720882408</c:v>
                </c:pt>
                <c:pt idx="28">
                  <c:v>8.6770791616606591</c:v>
                </c:pt>
                <c:pt idx="29">
                  <c:v>5.983617936970707</c:v>
                </c:pt>
                <c:pt idx="30">
                  <c:v>5.7596822244289978</c:v>
                </c:pt>
                <c:pt idx="31">
                  <c:v>8.6702030364002187</c:v>
                </c:pt>
                <c:pt idx="32">
                  <c:v>3.4244923551825592</c:v>
                </c:pt>
              </c:numCache>
            </c:numRef>
          </c:val>
        </c:ser>
        <c:ser>
          <c:idx val="0"/>
          <c:order val="1"/>
          <c:tx>
            <c:strRef>
              <c:f>'Statistics - Children'!$L$97</c:f>
              <c:strCache>
                <c:ptCount val="1"/>
                <c:pt idx="0">
                  <c:v>At home</c:v>
                </c:pt>
              </c:strCache>
            </c:strRef>
          </c:tx>
          <c:spPr>
            <a:solidFill>
              <a:srgbClr val="FF0000"/>
            </a:solidFill>
            <a:ln w="12700">
              <a:solidFill>
                <a:srgbClr val="000000"/>
              </a:solidFill>
              <a:prstDash val="solid"/>
            </a:ln>
          </c:spPr>
          <c:invertIfNegative val="0"/>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Children'!$L$98:$L$130</c:f>
              <c:numCache>
                <c:formatCode>0.0</c:formatCode>
                <c:ptCount val="33"/>
                <c:pt idx="0">
                  <c:v>1.3852334118298935</c:v>
                </c:pt>
                <c:pt idx="1">
                  <c:v>1.5625554884761532</c:v>
                </c:pt>
                <c:pt idx="2">
                  <c:v>2.4433946896888745</c:v>
                </c:pt>
                <c:pt idx="3">
                  <c:v>2.5362169016802434</c:v>
                </c:pt>
                <c:pt idx="4">
                  <c:v>6.7462424253519577</c:v>
                </c:pt>
                <c:pt idx="5">
                  <c:v>3.3519553072625698</c:v>
                </c:pt>
                <c:pt idx="6">
                  <c:v>5.0093926111458984</c:v>
                </c:pt>
                <c:pt idx="7">
                  <c:v>1.9945150835203191</c:v>
                </c:pt>
                <c:pt idx="8">
                  <c:v>2.6250853152727465</c:v>
                </c:pt>
                <c:pt idx="9">
                  <c:v>4.173810227608632</c:v>
                </c:pt>
                <c:pt idx="10">
                  <c:v>4.9398090493980904</c:v>
                </c:pt>
                <c:pt idx="11">
                  <c:v>4.2555272940716105</c:v>
                </c:pt>
                <c:pt idx="12">
                  <c:v>2.0092058157375612</c:v>
                </c:pt>
                <c:pt idx="13">
                  <c:v>4.0321995232209593</c:v>
                </c:pt>
                <c:pt idx="14">
                  <c:v>6.1363508416371113</c:v>
                </c:pt>
                <c:pt idx="15">
                  <c:v>3.1360000000000001</c:v>
                </c:pt>
                <c:pt idx="16">
                  <c:v>2.4231481921413978</c:v>
                </c:pt>
                <c:pt idx="17">
                  <c:v>3.240424293055872</c:v>
                </c:pt>
                <c:pt idx="18">
                  <c:v>3.5486553922927642</c:v>
                </c:pt>
                <c:pt idx="19">
                  <c:v>2.8801336733796497</c:v>
                </c:pt>
                <c:pt idx="20">
                  <c:v>5.9200310559006208</c:v>
                </c:pt>
                <c:pt idx="21">
                  <c:v>3.0076601344048122</c:v>
                </c:pt>
                <c:pt idx="22">
                  <c:v>6.5137022475206852</c:v>
                </c:pt>
                <c:pt idx="23">
                  <c:v>3.7270193241254033</c:v>
                </c:pt>
                <c:pt idx="24">
                  <c:v>2.9901133349409212</c:v>
                </c:pt>
                <c:pt idx="25">
                  <c:v>2.4610336341263332</c:v>
                </c:pt>
                <c:pt idx="26">
                  <c:v>4.131313580027542</c:v>
                </c:pt>
                <c:pt idx="27">
                  <c:v>8.8988595999252187</c:v>
                </c:pt>
                <c:pt idx="28">
                  <c:v>5.2729942597784003</c:v>
                </c:pt>
                <c:pt idx="29">
                  <c:v>3.6929057337220605</c:v>
                </c:pt>
                <c:pt idx="30">
                  <c:v>3.5749751737835154</c:v>
                </c:pt>
                <c:pt idx="31">
                  <c:v>6.2922992500457289</c:v>
                </c:pt>
                <c:pt idx="32">
                  <c:v>3.6174215019534075</c:v>
                </c:pt>
              </c:numCache>
            </c:numRef>
          </c:val>
        </c:ser>
        <c:dLbls>
          <c:showLegendKey val="0"/>
          <c:showVal val="0"/>
          <c:showCatName val="0"/>
          <c:showSerName val="0"/>
          <c:showPercent val="0"/>
          <c:showBubbleSize val="0"/>
        </c:dLbls>
        <c:gapWidth val="150"/>
        <c:overlap val="100"/>
        <c:axId val="346373120"/>
        <c:axId val="346383104"/>
      </c:barChart>
      <c:lineChart>
        <c:grouping val="standard"/>
        <c:varyColors val="0"/>
        <c:ser>
          <c:idx val="2"/>
          <c:order val="2"/>
          <c:tx>
            <c:strRef>
              <c:f>'Statistics - Children'!$O$97</c:f>
              <c:strCache>
                <c:ptCount val="1"/>
                <c:pt idx="0">
                  <c:v>Highlight</c:v>
                </c:pt>
              </c:strCache>
            </c:strRef>
          </c:tx>
          <c:spPr>
            <a:ln w="28575">
              <a:noFill/>
            </a:ln>
          </c:spPr>
          <c:marker>
            <c:symbol val="none"/>
          </c:marker>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Children'!$O$98:$O$130</c:f>
              <c:numCache>
                <c:formatCode>General</c:formatCode>
                <c:ptCount val="33"/>
                <c:pt idx="0">
                  <c:v>#N/A</c:v>
                </c:pt>
                <c:pt idx="1">
                  <c:v>#N/A</c:v>
                </c:pt>
                <c:pt idx="2">
                  <c:v>#N/A</c:v>
                </c:pt>
                <c:pt idx="3">
                  <c:v>#N/A</c:v>
                </c:pt>
                <c:pt idx="4">
                  <c:v>#N/A</c:v>
                </c:pt>
                <c:pt idx="5">
                  <c:v>0</c:v>
                </c:pt>
                <c:pt idx="6">
                  <c:v>#N/A</c:v>
                </c:pt>
                <c:pt idx="7">
                  <c:v>#N/A</c:v>
                </c:pt>
                <c:pt idx="8">
                  <c:v>#N/A</c:v>
                </c:pt>
                <c:pt idx="9">
                  <c:v>#N/A</c:v>
                </c:pt>
                <c:pt idx="10">
                  <c:v>#N/A</c:v>
                </c:pt>
                <c:pt idx="11">
                  <c:v>#N/A</c:v>
                </c:pt>
                <c:pt idx="12">
                  <c:v>#N/A</c:v>
                </c:pt>
                <c:pt idx="13">
                  <c:v>0</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numCache>
            </c:numRef>
          </c:val>
          <c:smooth val="0"/>
        </c:ser>
        <c:ser>
          <c:idx val="3"/>
          <c:order val="3"/>
          <c:tx>
            <c:strRef>
              <c:f>'Statistics - Children'!$P$97</c:f>
              <c:strCache>
                <c:ptCount val="1"/>
                <c:pt idx="0">
                  <c:v>Don't Highlight</c:v>
                </c:pt>
              </c:strCache>
            </c:strRef>
          </c:tx>
          <c:spPr>
            <a:ln w="28575">
              <a:noFill/>
            </a:ln>
          </c:spPr>
          <c:marker>
            <c:symbol val="none"/>
          </c:marker>
          <c:cat>
            <c:strRef>
              <c:f>'Statistics - Children'!$J$98:$J$130</c:f>
              <c:strCache>
                <c:ptCount val="33"/>
                <c:pt idx="0">
                  <c:v>Scottish Borders</c:v>
                </c:pt>
                <c:pt idx="1">
                  <c:v>Perth &amp; Kinross</c:v>
                </c:pt>
                <c:pt idx="2">
                  <c:v>Midlothian</c:v>
                </c:pt>
                <c:pt idx="3">
                  <c:v>Fife</c:v>
                </c:pt>
                <c:pt idx="4">
                  <c:v>Glasgow City</c:v>
                </c:pt>
                <c:pt idx="5">
                  <c:v>Aberdeen City</c:v>
                </c:pt>
                <c:pt idx="6">
                  <c:v>Dundee City</c:v>
                </c:pt>
                <c:pt idx="7">
                  <c:v>Orkney Islands</c:v>
                </c:pt>
                <c:pt idx="8">
                  <c:v>Moray</c:v>
                </c:pt>
                <c:pt idx="9">
                  <c:v>Edinburgh</c:v>
                </c:pt>
                <c:pt idx="10">
                  <c:v>East Ayrshire</c:v>
                </c:pt>
                <c:pt idx="11">
                  <c:v>South Ayrshire</c:v>
                </c:pt>
                <c:pt idx="12">
                  <c:v>Aberdeenshire</c:v>
                </c:pt>
                <c:pt idx="13">
                  <c:v>Scotland</c:v>
                </c:pt>
                <c:pt idx="14">
                  <c:v>West Dunbartonshire</c:v>
                </c:pt>
                <c:pt idx="15">
                  <c:v>Argyll &amp; Bute</c:v>
                </c:pt>
                <c:pt idx="16">
                  <c:v>East Dunbartonshire</c:v>
                </c:pt>
                <c:pt idx="17">
                  <c:v>West Lothian</c:v>
                </c:pt>
                <c:pt idx="18">
                  <c:v>Stirling</c:v>
                </c:pt>
                <c:pt idx="19">
                  <c:v>Highland</c:v>
                </c:pt>
                <c:pt idx="20">
                  <c:v>Clackmannanshire</c:v>
                </c:pt>
                <c:pt idx="21">
                  <c:v>East Lothian</c:v>
                </c:pt>
                <c:pt idx="22">
                  <c:v>Renfrewshire</c:v>
                </c:pt>
                <c:pt idx="23">
                  <c:v>Falkirk</c:v>
                </c:pt>
                <c:pt idx="24">
                  <c:v>South Lanarkshire</c:v>
                </c:pt>
                <c:pt idx="25">
                  <c:v>Shetland Islands</c:v>
                </c:pt>
                <c:pt idx="26">
                  <c:v>Angus</c:v>
                </c:pt>
                <c:pt idx="27">
                  <c:v>North Ayrshire</c:v>
                </c:pt>
                <c:pt idx="28">
                  <c:v>Inverclyde</c:v>
                </c:pt>
                <c:pt idx="29">
                  <c:v>North Lanarkshire</c:v>
                </c:pt>
                <c:pt idx="30">
                  <c:v>Eilean Siar</c:v>
                </c:pt>
                <c:pt idx="31">
                  <c:v>Dumfries &amp; Galloway</c:v>
                </c:pt>
                <c:pt idx="32">
                  <c:v>East Renfrewshire</c:v>
                </c:pt>
              </c:strCache>
            </c:strRef>
          </c:cat>
          <c:val>
            <c:numRef>
              <c:f>'Statistics - Children'!$P$98:$P$130</c:f>
              <c:numCache>
                <c:formatCode>General</c:formatCode>
                <c:ptCount val="33"/>
                <c:pt idx="0">
                  <c:v>0</c:v>
                </c:pt>
                <c:pt idx="1">
                  <c:v>0</c:v>
                </c:pt>
                <c:pt idx="2">
                  <c:v>0</c:v>
                </c:pt>
                <c:pt idx="3">
                  <c:v>0</c:v>
                </c:pt>
                <c:pt idx="4">
                  <c:v>0</c:v>
                </c:pt>
                <c:pt idx="5">
                  <c:v>#N/A</c:v>
                </c:pt>
                <c:pt idx="6">
                  <c:v>0</c:v>
                </c:pt>
                <c:pt idx="7">
                  <c:v>0</c:v>
                </c:pt>
                <c:pt idx="8">
                  <c:v>0</c:v>
                </c:pt>
                <c:pt idx="9">
                  <c:v>0</c:v>
                </c:pt>
                <c:pt idx="10">
                  <c:v>0</c:v>
                </c:pt>
                <c:pt idx="11">
                  <c:v>0</c:v>
                </c:pt>
                <c:pt idx="12">
                  <c:v>0</c:v>
                </c:pt>
                <c:pt idx="13">
                  <c:v>#N/A</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ser>
        <c:dLbls>
          <c:showLegendKey val="0"/>
          <c:showVal val="0"/>
          <c:showCatName val="0"/>
          <c:showSerName val="0"/>
          <c:showPercent val="0"/>
          <c:showBubbleSize val="0"/>
        </c:dLbls>
        <c:marker val="1"/>
        <c:smooth val="0"/>
        <c:axId val="346373120"/>
        <c:axId val="346383104"/>
      </c:lineChart>
      <c:catAx>
        <c:axId val="346373120"/>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346383104"/>
        <c:crosses val="autoZero"/>
        <c:auto val="0"/>
        <c:lblAlgn val="ctr"/>
        <c:lblOffset val="100"/>
        <c:tickLblSkip val="1"/>
        <c:tickMarkSkip val="1"/>
        <c:noMultiLvlLbl val="0"/>
      </c:catAx>
      <c:valAx>
        <c:axId val="3463831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373120"/>
        <c:crosses val="autoZero"/>
        <c:crossBetween val="between"/>
      </c:valAx>
      <c:spPr>
        <a:noFill/>
        <a:ln w="25400">
          <a:noFill/>
        </a:ln>
      </c:spPr>
    </c:plotArea>
    <c:legend>
      <c:legendPos val="b"/>
      <c:legendEntry>
        <c:idx val="2"/>
        <c:delete val="1"/>
      </c:legendEntry>
      <c:legendEntry>
        <c:idx val="3"/>
        <c:delete val="1"/>
      </c:legendEntry>
      <c:layout>
        <c:manualLayout>
          <c:xMode val="edge"/>
          <c:yMode val="edge"/>
          <c:x val="0.26838259383490515"/>
          <c:y val="0.1487344070386778"/>
          <c:w val="0.45772099907459851"/>
          <c:h val="6.96203607415087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56003419554352"/>
          <c:y val="8.7248465106676526E-2"/>
          <c:w val="0.58414331788423768"/>
          <c:h val="0.59731641496109311"/>
        </c:manualLayout>
      </c:layout>
      <c:lineChart>
        <c:grouping val="standard"/>
        <c:varyColors val="0"/>
        <c:ser>
          <c:idx val="1"/>
          <c:order val="0"/>
          <c:tx>
            <c:strRef>
              <c:f>'Evaluation and Deprivation'!$N$2</c:f>
              <c:strCache>
                <c:ptCount val="1"/>
                <c:pt idx="0">
                  <c:v>Evaluation Score</c:v>
                </c:pt>
              </c:strCache>
            </c:strRef>
          </c:tx>
          <c:spPr>
            <a:ln w="25400">
              <a:solidFill>
                <a:srgbClr val="FF0000"/>
              </a:solidFill>
              <a:prstDash val="solid"/>
            </a:ln>
          </c:spPr>
          <c:marker>
            <c:symbol val="none"/>
          </c:marker>
          <c:cat>
            <c:strRef>
              <c:f>'Evaluation and Deprivation'!$M$3:$M$34</c:f>
              <c:strCache>
                <c:ptCount val="32"/>
                <c:pt idx="0">
                  <c:v>Orkney Islands</c:v>
                </c:pt>
                <c:pt idx="1">
                  <c:v>Shetland Islands</c:v>
                </c:pt>
                <c:pt idx="2">
                  <c:v>Eilean Siar</c:v>
                </c:pt>
                <c:pt idx="3">
                  <c:v>Moray</c:v>
                </c:pt>
                <c:pt idx="4">
                  <c:v>East Lothian</c:v>
                </c:pt>
                <c:pt idx="5">
                  <c:v>Aberdeenshire</c:v>
                </c:pt>
                <c:pt idx="6">
                  <c:v>Scottish Borders</c:v>
                </c:pt>
                <c:pt idx="7">
                  <c:v>East Dunbartonshire</c:v>
                </c:pt>
                <c:pt idx="8">
                  <c:v>Perth &amp; Kinross</c:v>
                </c:pt>
                <c:pt idx="9">
                  <c:v>Angus</c:v>
                </c:pt>
                <c:pt idx="10">
                  <c:v>East Renfrewshire</c:v>
                </c:pt>
                <c:pt idx="11">
                  <c:v>Highland</c:v>
                </c:pt>
                <c:pt idx="12">
                  <c:v>Dumfries &amp; Galloway</c:v>
                </c:pt>
                <c:pt idx="13">
                  <c:v>Midlothian</c:v>
                </c:pt>
                <c:pt idx="14">
                  <c:v>Argyll &amp; Bute</c:v>
                </c:pt>
                <c:pt idx="15">
                  <c:v>Stirling</c:v>
                </c:pt>
                <c:pt idx="16">
                  <c:v>Aberdeen City</c:v>
                </c:pt>
                <c:pt idx="17">
                  <c:v>Edinburgh</c:v>
                </c:pt>
                <c:pt idx="18">
                  <c:v>West Lothian</c:v>
                </c:pt>
                <c:pt idx="19">
                  <c:v>South Ayrshire</c:v>
                </c:pt>
                <c:pt idx="20">
                  <c:v>Falkirk</c:v>
                </c:pt>
                <c:pt idx="21">
                  <c:v>Fife</c:v>
                </c:pt>
                <c:pt idx="22">
                  <c:v>South Lanarkshire</c:v>
                </c:pt>
                <c:pt idx="23">
                  <c:v>East Ayrshire</c:v>
                </c:pt>
                <c:pt idx="24">
                  <c:v>Clackmannanshire</c:v>
                </c:pt>
                <c:pt idx="25">
                  <c:v>North Ayrshire</c:v>
                </c:pt>
                <c:pt idx="26">
                  <c:v>Renfrewshire</c:v>
                </c:pt>
                <c:pt idx="27">
                  <c:v>North Lanarkshire</c:v>
                </c:pt>
                <c:pt idx="28">
                  <c:v>West Dunbartonshire</c:v>
                </c:pt>
                <c:pt idx="29">
                  <c:v>Dundee City</c:v>
                </c:pt>
                <c:pt idx="30">
                  <c:v>Inverclyde</c:v>
                </c:pt>
                <c:pt idx="31">
                  <c:v>Glasgow City</c:v>
                </c:pt>
              </c:strCache>
            </c:strRef>
          </c:cat>
          <c:val>
            <c:numRef>
              <c:f>'Evaluation and Deprivation'!$N$3:$N$34</c:f>
              <c:numCache>
                <c:formatCode>General</c:formatCode>
                <c:ptCount val="32"/>
                <c:pt idx="0">
                  <c:v>38</c:v>
                </c:pt>
                <c:pt idx="1">
                  <c:v>37</c:v>
                </c:pt>
                <c:pt idx="2">
                  <c:v>26</c:v>
                </c:pt>
                <c:pt idx="3">
                  <c:v>33</c:v>
                </c:pt>
                <c:pt idx="4">
                  <c:v>36</c:v>
                </c:pt>
                <c:pt idx="5">
                  <c:v>39</c:v>
                </c:pt>
                <c:pt idx="6">
                  <c:v>42</c:v>
                </c:pt>
                <c:pt idx="7">
                  <c:v>36</c:v>
                </c:pt>
                <c:pt idx="8">
                  <c:v>36</c:v>
                </c:pt>
                <c:pt idx="9">
                  <c:v>40</c:v>
                </c:pt>
                <c:pt idx="10">
                  <c:v>43</c:v>
                </c:pt>
                <c:pt idx="11">
                  <c:v>35</c:v>
                </c:pt>
                <c:pt idx="12">
                  <c:v>23</c:v>
                </c:pt>
                <c:pt idx="13">
                  <c:v>33</c:v>
                </c:pt>
                <c:pt idx="14">
                  <c:v>28</c:v>
                </c:pt>
                <c:pt idx="15">
                  <c:v>29</c:v>
                </c:pt>
                <c:pt idx="16">
                  <c:v>21</c:v>
                </c:pt>
                <c:pt idx="17">
                  <c:v>34</c:v>
                </c:pt>
                <c:pt idx="18">
                  <c:v>48</c:v>
                </c:pt>
                <c:pt idx="19">
                  <c:v>33</c:v>
                </c:pt>
                <c:pt idx="20">
                  <c:v>37</c:v>
                </c:pt>
                <c:pt idx="21">
                  <c:v>38</c:v>
                </c:pt>
                <c:pt idx="22">
                  <c:v>41</c:v>
                </c:pt>
                <c:pt idx="23">
                  <c:v>36</c:v>
                </c:pt>
                <c:pt idx="24">
                  <c:v>35</c:v>
                </c:pt>
                <c:pt idx="25">
                  <c:v>37</c:v>
                </c:pt>
                <c:pt idx="26">
                  <c:v>39</c:v>
                </c:pt>
                <c:pt idx="27">
                  <c:v>43</c:v>
                </c:pt>
                <c:pt idx="28">
                  <c:v>39</c:v>
                </c:pt>
                <c:pt idx="29">
                  <c:v>40</c:v>
                </c:pt>
                <c:pt idx="30">
                  <c:v>34</c:v>
                </c:pt>
                <c:pt idx="31">
                  <c:v>34</c:v>
                </c:pt>
              </c:numCache>
            </c:numRef>
          </c:val>
          <c:smooth val="0"/>
        </c:ser>
        <c:dLbls>
          <c:showLegendKey val="0"/>
          <c:showVal val="0"/>
          <c:showCatName val="0"/>
          <c:showSerName val="0"/>
          <c:showPercent val="0"/>
          <c:showBubbleSize val="0"/>
        </c:dLbls>
        <c:marker val="1"/>
        <c:smooth val="0"/>
        <c:axId val="296794752"/>
        <c:axId val="296800640"/>
      </c:lineChart>
      <c:lineChart>
        <c:grouping val="standard"/>
        <c:varyColors val="0"/>
        <c:ser>
          <c:idx val="0"/>
          <c:order val="1"/>
          <c:tx>
            <c:strRef>
              <c:f>'Evaluation and Deprivation'!$O$2</c:f>
              <c:strCache>
                <c:ptCount val="1"/>
                <c:pt idx="0">
                  <c:v>Deprivation %</c:v>
                </c:pt>
              </c:strCache>
            </c:strRef>
          </c:tx>
          <c:spPr>
            <a:ln w="25400">
              <a:solidFill>
                <a:srgbClr val="000080"/>
              </a:solidFill>
              <a:prstDash val="solid"/>
            </a:ln>
          </c:spPr>
          <c:marker>
            <c:symbol val="none"/>
          </c:marker>
          <c:cat>
            <c:strRef>
              <c:f>'Evaluation and Deprivation'!$M$3:$M$34</c:f>
              <c:strCache>
                <c:ptCount val="32"/>
                <c:pt idx="0">
                  <c:v>Orkney Islands</c:v>
                </c:pt>
                <c:pt idx="1">
                  <c:v>Shetland Islands</c:v>
                </c:pt>
                <c:pt idx="2">
                  <c:v>Eilean Siar</c:v>
                </c:pt>
                <c:pt idx="3">
                  <c:v>Moray</c:v>
                </c:pt>
                <c:pt idx="4">
                  <c:v>East Lothian</c:v>
                </c:pt>
                <c:pt idx="5">
                  <c:v>Aberdeenshire</c:v>
                </c:pt>
                <c:pt idx="6">
                  <c:v>Scottish Borders</c:v>
                </c:pt>
                <c:pt idx="7">
                  <c:v>East Dunbartonshire</c:v>
                </c:pt>
                <c:pt idx="8">
                  <c:v>Perth &amp; Kinross</c:v>
                </c:pt>
                <c:pt idx="9">
                  <c:v>Angus</c:v>
                </c:pt>
                <c:pt idx="10">
                  <c:v>East Renfrewshire</c:v>
                </c:pt>
                <c:pt idx="11">
                  <c:v>Highland</c:v>
                </c:pt>
                <c:pt idx="12">
                  <c:v>Dumfries &amp; Galloway</c:v>
                </c:pt>
                <c:pt idx="13">
                  <c:v>Midlothian</c:v>
                </c:pt>
                <c:pt idx="14">
                  <c:v>Argyll &amp; Bute</c:v>
                </c:pt>
                <c:pt idx="15">
                  <c:v>Stirling</c:v>
                </c:pt>
                <c:pt idx="16">
                  <c:v>Aberdeen City</c:v>
                </c:pt>
                <c:pt idx="17">
                  <c:v>Edinburgh</c:v>
                </c:pt>
                <c:pt idx="18">
                  <c:v>West Lothian</c:v>
                </c:pt>
                <c:pt idx="19">
                  <c:v>South Ayrshire</c:v>
                </c:pt>
                <c:pt idx="20">
                  <c:v>Falkirk</c:v>
                </c:pt>
                <c:pt idx="21">
                  <c:v>Fife</c:v>
                </c:pt>
                <c:pt idx="22">
                  <c:v>South Lanarkshire</c:v>
                </c:pt>
                <c:pt idx="23">
                  <c:v>East Ayrshire</c:v>
                </c:pt>
                <c:pt idx="24">
                  <c:v>Clackmannanshire</c:v>
                </c:pt>
                <c:pt idx="25">
                  <c:v>North Ayrshire</c:v>
                </c:pt>
                <c:pt idx="26">
                  <c:v>Renfrewshire</c:v>
                </c:pt>
                <c:pt idx="27">
                  <c:v>North Lanarkshire</c:v>
                </c:pt>
                <c:pt idx="28">
                  <c:v>West Dunbartonshire</c:v>
                </c:pt>
                <c:pt idx="29">
                  <c:v>Dundee City</c:v>
                </c:pt>
                <c:pt idx="30">
                  <c:v>Inverclyde</c:v>
                </c:pt>
                <c:pt idx="31">
                  <c:v>Glasgow City</c:v>
                </c:pt>
              </c:strCache>
            </c:strRef>
          </c:cat>
          <c:val>
            <c:numRef>
              <c:f>'Evaluation and Deprivation'!$O$3:$O$34</c:f>
              <c:numCache>
                <c:formatCode>0%</c:formatCode>
                <c:ptCount val="32"/>
                <c:pt idx="0">
                  <c:v>0</c:v>
                </c:pt>
                <c:pt idx="1">
                  <c:v>0</c:v>
                </c:pt>
                <c:pt idx="2">
                  <c:v>0</c:v>
                </c:pt>
                <c:pt idx="3">
                  <c:v>1.7241379310344827E-2</c:v>
                </c:pt>
                <c:pt idx="4">
                  <c:v>2.5000000000000001E-2</c:v>
                </c:pt>
                <c:pt idx="5">
                  <c:v>2.6578073089700997E-2</c:v>
                </c:pt>
                <c:pt idx="6">
                  <c:v>4.6153846153846156E-2</c:v>
                </c:pt>
                <c:pt idx="7">
                  <c:v>4.7244094488188976E-2</c:v>
                </c:pt>
                <c:pt idx="8">
                  <c:v>5.7142857142857141E-2</c:v>
                </c:pt>
                <c:pt idx="9">
                  <c:v>6.3380281690140844E-2</c:v>
                </c:pt>
                <c:pt idx="10">
                  <c:v>6.6666666666666666E-2</c:v>
                </c:pt>
                <c:pt idx="11">
                  <c:v>8.2191780821917804E-2</c:v>
                </c:pt>
                <c:pt idx="12">
                  <c:v>8.2901554404145081E-2</c:v>
                </c:pt>
                <c:pt idx="13">
                  <c:v>8.9285714285714288E-2</c:v>
                </c:pt>
                <c:pt idx="14">
                  <c:v>9.0163934426229511E-2</c:v>
                </c:pt>
                <c:pt idx="15">
                  <c:v>9.0909090909090912E-2</c:v>
                </c:pt>
                <c:pt idx="16">
                  <c:v>0.1348314606741573</c:v>
                </c:pt>
                <c:pt idx="17">
                  <c:v>0.13843351548269581</c:v>
                </c:pt>
                <c:pt idx="18">
                  <c:v>0.14218009478672985</c:v>
                </c:pt>
                <c:pt idx="19">
                  <c:v>0.14285714285714285</c:v>
                </c:pt>
                <c:pt idx="20">
                  <c:v>0.14720812182741116</c:v>
                </c:pt>
                <c:pt idx="21">
                  <c:v>0.17660044150110377</c:v>
                </c:pt>
                <c:pt idx="22">
                  <c:v>0.20100502512562815</c:v>
                </c:pt>
                <c:pt idx="23">
                  <c:v>0.25974025974025972</c:v>
                </c:pt>
                <c:pt idx="24">
                  <c:v>0.265625</c:v>
                </c:pt>
                <c:pt idx="25">
                  <c:v>0.26815642458100558</c:v>
                </c:pt>
                <c:pt idx="26">
                  <c:v>0.28037383177570091</c:v>
                </c:pt>
                <c:pt idx="27">
                  <c:v>0.31818181818181818</c:v>
                </c:pt>
                <c:pt idx="28">
                  <c:v>0.33898305084745761</c:v>
                </c:pt>
                <c:pt idx="29">
                  <c:v>0.37988826815642457</c:v>
                </c:pt>
                <c:pt idx="30">
                  <c:v>0.44545454545454544</c:v>
                </c:pt>
                <c:pt idx="31">
                  <c:v>0.53458213256484155</c:v>
                </c:pt>
              </c:numCache>
            </c:numRef>
          </c:val>
          <c:smooth val="0"/>
        </c:ser>
        <c:dLbls>
          <c:showLegendKey val="0"/>
          <c:showVal val="0"/>
          <c:showCatName val="0"/>
          <c:showSerName val="0"/>
          <c:showPercent val="0"/>
          <c:showBubbleSize val="0"/>
        </c:dLbls>
        <c:marker val="1"/>
        <c:smooth val="0"/>
        <c:axId val="296802176"/>
        <c:axId val="296803712"/>
      </c:lineChart>
      <c:catAx>
        <c:axId val="2967947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296800640"/>
        <c:crosses val="autoZero"/>
        <c:auto val="0"/>
        <c:lblAlgn val="ctr"/>
        <c:lblOffset val="100"/>
        <c:tickLblSkip val="1"/>
        <c:tickMarkSkip val="1"/>
        <c:noMultiLvlLbl val="0"/>
      </c:catAx>
      <c:valAx>
        <c:axId val="2968006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6794752"/>
        <c:crosses val="autoZero"/>
        <c:crossBetween val="between"/>
      </c:valAx>
      <c:catAx>
        <c:axId val="296802176"/>
        <c:scaling>
          <c:orientation val="minMax"/>
        </c:scaling>
        <c:delete val="1"/>
        <c:axPos val="b"/>
        <c:majorTickMark val="out"/>
        <c:minorTickMark val="none"/>
        <c:tickLblPos val="nextTo"/>
        <c:crossAx val="296803712"/>
        <c:crosses val="autoZero"/>
        <c:auto val="0"/>
        <c:lblAlgn val="ctr"/>
        <c:lblOffset val="100"/>
        <c:noMultiLvlLbl val="0"/>
      </c:catAx>
      <c:valAx>
        <c:axId val="296803712"/>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6802176"/>
        <c:crosses val="max"/>
        <c:crossBetween val="between"/>
      </c:valAx>
      <c:spPr>
        <a:noFill/>
        <a:ln w="12700">
          <a:solidFill>
            <a:srgbClr val="808080"/>
          </a:solidFill>
          <a:prstDash val="solid"/>
        </a:ln>
      </c:spPr>
    </c:plotArea>
    <c:legend>
      <c:legendPos val="r"/>
      <c:layout>
        <c:manualLayout>
          <c:xMode val="edge"/>
          <c:yMode val="edge"/>
          <c:x val="0.76699150326074417"/>
          <c:y val="0.31543675846259972"/>
          <c:w val="0.22006507266552996"/>
          <c:h val="0.1442955384456573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Social work expenditure: Total gross social work spend (per head of population), 2008/09 and aggregate PI evaluation</a:t>
            </a:r>
          </a:p>
        </c:rich>
      </c:tx>
      <c:layout>
        <c:manualLayout>
          <c:xMode val="edge"/>
          <c:yMode val="edge"/>
          <c:x val="0.11418068417048689"/>
          <c:y val="3.5369774919614148E-2"/>
        </c:manualLayout>
      </c:layout>
      <c:overlay val="0"/>
      <c:spPr>
        <a:noFill/>
        <a:ln w="25400">
          <a:noFill/>
        </a:ln>
      </c:spPr>
    </c:title>
    <c:autoTitleDeleted val="0"/>
    <c:plotArea>
      <c:layout>
        <c:manualLayout>
          <c:layoutTarget val="inner"/>
          <c:xMode val="edge"/>
          <c:yMode val="edge"/>
          <c:x val="0.16942940231749667"/>
          <c:y val="0.35048231511254019"/>
          <c:w val="0.75690743861403409"/>
          <c:h val="0.34726688102893893"/>
        </c:manualLayout>
      </c:layout>
      <c:barChart>
        <c:barDir val="col"/>
        <c:grouping val="clustered"/>
        <c:varyColors val="0"/>
        <c:ser>
          <c:idx val="1"/>
          <c:order val="0"/>
          <c:tx>
            <c:strRef>
              <c:f>'Per Capita Data - Overall'!$C$2</c:f>
              <c:strCache>
                <c:ptCount val="1"/>
                <c:pt idx="0">
                  <c:v>Social Work Spend per Capita</c:v>
                </c:pt>
              </c:strCache>
            </c:strRef>
          </c:tx>
          <c:spPr>
            <a:solidFill>
              <a:srgbClr val="333399"/>
            </a:solidFill>
            <a:ln w="12700">
              <a:solidFill>
                <a:srgbClr val="000000"/>
              </a:solidFill>
              <a:prstDash val="solid"/>
            </a:ln>
          </c:spPr>
          <c:invertIfNegative val="0"/>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Overall'!$C$3:$C$34</c:f>
              <c:numCache>
                <c:formatCode>#,##0</c:formatCode>
                <c:ptCount val="32"/>
                <c:pt idx="0">
                  <c:v>1462.5484287559191</c:v>
                </c:pt>
                <c:pt idx="1">
                  <c:v>1082.3529411764705</c:v>
                </c:pt>
                <c:pt idx="2">
                  <c:v>1032.0366972477063</c:v>
                </c:pt>
                <c:pt idx="3">
                  <c:v>900.28349870757938</c:v>
                </c:pt>
                <c:pt idx="4">
                  <c:v>885.01058731750811</c:v>
                </c:pt>
                <c:pt idx="5">
                  <c:v>859.95548360987459</c:v>
                </c:pt>
                <c:pt idx="6">
                  <c:v>847.5045804323928</c:v>
                </c:pt>
                <c:pt idx="7">
                  <c:v>840.97170047583268</c:v>
                </c:pt>
                <c:pt idx="8">
                  <c:v>822.30912807750417</c:v>
                </c:pt>
                <c:pt idx="9">
                  <c:v>815.13967571791363</c:v>
                </c:pt>
                <c:pt idx="10">
                  <c:v>789.93597438975587</c:v>
                </c:pt>
                <c:pt idx="11">
                  <c:v>777.74355464293865</c:v>
                </c:pt>
                <c:pt idx="12">
                  <c:v>776.8696550536647</c:v>
                </c:pt>
                <c:pt idx="13">
                  <c:v>765.88049037915073</c:v>
                </c:pt>
                <c:pt idx="14">
                  <c:v>761.1952517396644</c:v>
                </c:pt>
                <c:pt idx="15">
                  <c:v>754.46453668134541</c:v>
                </c:pt>
                <c:pt idx="16">
                  <c:v>753.16124816206502</c:v>
                </c:pt>
                <c:pt idx="17">
                  <c:v>742.82283069129653</c:v>
                </c:pt>
                <c:pt idx="18">
                  <c:v>736.53260593757932</c:v>
                </c:pt>
                <c:pt idx="19">
                  <c:v>712.67210383232486</c:v>
                </c:pt>
                <c:pt idx="20">
                  <c:v>699.53601670339867</c:v>
                </c:pt>
                <c:pt idx="21">
                  <c:v>673.69916707496327</c:v>
                </c:pt>
                <c:pt idx="22">
                  <c:v>669.67810026385223</c:v>
                </c:pt>
                <c:pt idx="23">
                  <c:v>643.76662376662375</c:v>
                </c:pt>
                <c:pt idx="24">
                  <c:v>643.40819475398598</c:v>
                </c:pt>
                <c:pt idx="25">
                  <c:v>637.17254817059973</c:v>
                </c:pt>
                <c:pt idx="26">
                  <c:v>624.30661716531995</c:v>
                </c:pt>
                <c:pt idx="27">
                  <c:v>616.07369355657022</c:v>
                </c:pt>
                <c:pt idx="28">
                  <c:v>612.70602160082854</c:v>
                </c:pt>
                <c:pt idx="29">
                  <c:v>606.54889844169804</c:v>
                </c:pt>
                <c:pt idx="30">
                  <c:v>600.69481765834928</c:v>
                </c:pt>
                <c:pt idx="31">
                  <c:v>544.03612757550104</c:v>
                </c:pt>
              </c:numCache>
            </c:numRef>
          </c:val>
        </c:ser>
        <c:ser>
          <c:idx val="0"/>
          <c:order val="1"/>
          <c:tx>
            <c:strRef>
              <c:f>'Per Capita Data - Overall'!$D$2</c:f>
              <c:strCache>
                <c:ptCount val="1"/>
              </c:strCache>
            </c:strRef>
          </c:tx>
          <c:spPr>
            <a:solidFill>
              <a:srgbClr val="FFFF00"/>
            </a:solidFill>
            <a:ln w="12700">
              <a:solidFill>
                <a:srgbClr val="000000"/>
              </a:solidFill>
              <a:prstDash val="solid"/>
            </a:ln>
          </c:spPr>
          <c:invertIfNegative val="0"/>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Overall'!$D$3:$D$34</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742.82283069129653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296927616"/>
        <c:axId val="296929152"/>
      </c:barChart>
      <c:lineChart>
        <c:grouping val="standard"/>
        <c:varyColors val="0"/>
        <c:ser>
          <c:idx val="2"/>
          <c:order val="2"/>
          <c:tx>
            <c:strRef>
              <c:f>'Per Capita Data - Overall'!$E$2</c:f>
              <c:strCache>
                <c:ptCount val="1"/>
                <c:pt idx="0">
                  <c:v>Average Spend per Capita</c:v>
                </c:pt>
              </c:strCache>
            </c:strRef>
          </c:tx>
          <c:spPr>
            <a:ln w="25400">
              <a:solidFill>
                <a:srgbClr val="000000"/>
              </a:solidFill>
              <a:prstDash val="solid"/>
            </a:ln>
          </c:spPr>
          <c:marker>
            <c:symbol val="none"/>
          </c:marker>
          <c:cat>
            <c:strRef>
              <c:f>'Per Capita Data - Overall'!$B$3:$B$34</c:f>
              <c:strCache>
                <c:ptCount val="32"/>
                <c:pt idx="0">
                  <c:v>Shetland Islands</c:v>
                </c:pt>
                <c:pt idx="1">
                  <c:v>Orkney Islands</c:v>
                </c:pt>
                <c:pt idx="2">
                  <c:v>Eilean Siar</c:v>
                </c:pt>
                <c:pt idx="3">
                  <c:v>Glasgow City</c:v>
                </c:pt>
                <c:pt idx="4">
                  <c:v>West Dunbartonshire</c:v>
                </c:pt>
                <c:pt idx="5">
                  <c:v>Dundee City</c:v>
                </c:pt>
                <c:pt idx="6">
                  <c:v>North Ayrshire</c:v>
                </c:pt>
                <c:pt idx="7">
                  <c:v>Inverclyde</c:v>
                </c:pt>
                <c:pt idx="8">
                  <c:v>South Ayrshire</c:v>
                </c:pt>
                <c:pt idx="9">
                  <c:v>Clackmannanshire</c:v>
                </c:pt>
                <c:pt idx="10">
                  <c:v>Dumfries &amp; Galloway</c:v>
                </c:pt>
                <c:pt idx="11">
                  <c:v>Argyll &amp; Bute</c:v>
                </c:pt>
                <c:pt idx="12">
                  <c:v>Renfrewshire</c:v>
                </c:pt>
                <c:pt idx="13">
                  <c:v>Edinburgh</c:v>
                </c:pt>
                <c:pt idx="14">
                  <c:v>East Ayrshire</c:v>
                </c:pt>
                <c:pt idx="15">
                  <c:v>East Dunbartonshire</c:v>
                </c:pt>
                <c:pt idx="16">
                  <c:v>Fife</c:v>
                </c:pt>
                <c:pt idx="17">
                  <c:v>Aberdeen City</c:v>
                </c:pt>
                <c:pt idx="18">
                  <c:v>Falkirk</c:v>
                </c:pt>
                <c:pt idx="19">
                  <c:v>Scottish Borders</c:v>
                </c:pt>
                <c:pt idx="20">
                  <c:v>Midlothian</c:v>
                </c:pt>
                <c:pt idx="21">
                  <c:v>East Lothian</c:v>
                </c:pt>
                <c:pt idx="22">
                  <c:v>Moray</c:v>
                </c:pt>
                <c:pt idx="23">
                  <c:v>Highland</c:v>
                </c:pt>
                <c:pt idx="24">
                  <c:v>Angus</c:v>
                </c:pt>
                <c:pt idx="25">
                  <c:v>East Renfrewshire</c:v>
                </c:pt>
                <c:pt idx="26">
                  <c:v>Stirling</c:v>
                </c:pt>
                <c:pt idx="27">
                  <c:v>South Lanarkshire</c:v>
                </c:pt>
                <c:pt idx="28">
                  <c:v>North Lanarkshire</c:v>
                </c:pt>
                <c:pt idx="29">
                  <c:v>Perth &amp; Kinross</c:v>
                </c:pt>
                <c:pt idx="30">
                  <c:v>Aberdeenshire</c:v>
                </c:pt>
                <c:pt idx="31">
                  <c:v>West Lothian</c:v>
                </c:pt>
              </c:strCache>
            </c:strRef>
          </c:cat>
          <c:val>
            <c:numRef>
              <c:f>'Per Capita Data - Overall'!$E$3:$E$34</c:f>
              <c:numCache>
                <c:formatCode>#,##0</c:formatCode>
                <c:ptCount val="32"/>
                <c:pt idx="0">
                  <c:v>738</c:v>
                </c:pt>
                <c:pt idx="1">
                  <c:v>738</c:v>
                </c:pt>
                <c:pt idx="2">
                  <c:v>738</c:v>
                </c:pt>
                <c:pt idx="3">
                  <c:v>738</c:v>
                </c:pt>
                <c:pt idx="4">
                  <c:v>738</c:v>
                </c:pt>
                <c:pt idx="5">
                  <c:v>738</c:v>
                </c:pt>
                <c:pt idx="6">
                  <c:v>738</c:v>
                </c:pt>
                <c:pt idx="7">
                  <c:v>738</c:v>
                </c:pt>
                <c:pt idx="8">
                  <c:v>738</c:v>
                </c:pt>
                <c:pt idx="9">
                  <c:v>738</c:v>
                </c:pt>
                <c:pt idx="10">
                  <c:v>738</c:v>
                </c:pt>
                <c:pt idx="11">
                  <c:v>738</c:v>
                </c:pt>
                <c:pt idx="12">
                  <c:v>738</c:v>
                </c:pt>
                <c:pt idx="13">
                  <c:v>738</c:v>
                </c:pt>
                <c:pt idx="14">
                  <c:v>738</c:v>
                </c:pt>
                <c:pt idx="15">
                  <c:v>738</c:v>
                </c:pt>
                <c:pt idx="16">
                  <c:v>738</c:v>
                </c:pt>
                <c:pt idx="17">
                  <c:v>738</c:v>
                </c:pt>
                <c:pt idx="18">
                  <c:v>738</c:v>
                </c:pt>
                <c:pt idx="19">
                  <c:v>738</c:v>
                </c:pt>
                <c:pt idx="20">
                  <c:v>738</c:v>
                </c:pt>
                <c:pt idx="21">
                  <c:v>738</c:v>
                </c:pt>
                <c:pt idx="22">
                  <c:v>738</c:v>
                </c:pt>
                <c:pt idx="23">
                  <c:v>738</c:v>
                </c:pt>
                <c:pt idx="24">
                  <c:v>738</c:v>
                </c:pt>
                <c:pt idx="25">
                  <c:v>738</c:v>
                </c:pt>
                <c:pt idx="26">
                  <c:v>738</c:v>
                </c:pt>
                <c:pt idx="27">
                  <c:v>738</c:v>
                </c:pt>
                <c:pt idx="28">
                  <c:v>738</c:v>
                </c:pt>
                <c:pt idx="29">
                  <c:v>738</c:v>
                </c:pt>
                <c:pt idx="30">
                  <c:v>738</c:v>
                </c:pt>
                <c:pt idx="31">
                  <c:v>738</c:v>
                </c:pt>
              </c:numCache>
            </c:numRef>
          </c:val>
          <c:smooth val="0"/>
        </c:ser>
        <c:dLbls>
          <c:showLegendKey val="0"/>
          <c:showVal val="0"/>
          <c:showCatName val="0"/>
          <c:showSerName val="0"/>
          <c:showPercent val="0"/>
          <c:showBubbleSize val="0"/>
        </c:dLbls>
        <c:marker val="1"/>
        <c:smooth val="0"/>
        <c:axId val="296927616"/>
        <c:axId val="296929152"/>
      </c:lineChart>
      <c:lineChart>
        <c:grouping val="standard"/>
        <c:varyColors val="0"/>
        <c:ser>
          <c:idx val="3"/>
          <c:order val="3"/>
          <c:tx>
            <c:strRef>
              <c:f>'Per Capita Data - Overall'!$F$2</c:f>
              <c:strCache>
                <c:ptCount val="1"/>
                <c:pt idx="0">
                  <c:v>PI Evaluation</c:v>
                </c:pt>
              </c:strCache>
            </c:strRef>
          </c:tx>
          <c:spPr>
            <a:ln w="25400">
              <a:solidFill>
                <a:srgbClr val="FF0000"/>
              </a:solidFill>
              <a:prstDash val="solid"/>
            </a:ln>
          </c:spPr>
          <c:marker>
            <c:symbol val="none"/>
          </c:marker>
          <c:val>
            <c:numRef>
              <c:f>'Per Capita Data - Overall'!$F$3:$F$34</c:f>
              <c:numCache>
                <c:formatCode>#,##0</c:formatCode>
                <c:ptCount val="32"/>
                <c:pt idx="0">
                  <c:v>43</c:v>
                </c:pt>
                <c:pt idx="1">
                  <c:v>35</c:v>
                </c:pt>
                <c:pt idx="2">
                  <c:v>39</c:v>
                </c:pt>
                <c:pt idx="3">
                  <c:v>33</c:v>
                </c:pt>
                <c:pt idx="4">
                  <c:v>39</c:v>
                </c:pt>
                <c:pt idx="5">
                  <c:v>38</c:v>
                </c:pt>
                <c:pt idx="6">
                  <c:v>35</c:v>
                </c:pt>
                <c:pt idx="7">
                  <c:v>37</c:v>
                </c:pt>
                <c:pt idx="8">
                  <c:v>36</c:v>
                </c:pt>
                <c:pt idx="9">
                  <c:v>48</c:v>
                </c:pt>
                <c:pt idx="10">
                  <c:v>43</c:v>
                </c:pt>
                <c:pt idx="11">
                  <c:v>37</c:v>
                </c:pt>
                <c:pt idx="12">
                  <c:v>40</c:v>
                </c:pt>
                <c:pt idx="13">
                  <c:v>29</c:v>
                </c:pt>
                <c:pt idx="14">
                  <c:v>36</c:v>
                </c:pt>
                <c:pt idx="15">
                  <c:v>34</c:v>
                </c:pt>
                <c:pt idx="16">
                  <c:v>42</c:v>
                </c:pt>
                <c:pt idx="17">
                  <c:v>37</c:v>
                </c:pt>
                <c:pt idx="18">
                  <c:v>34</c:v>
                </c:pt>
                <c:pt idx="19">
                  <c:v>41</c:v>
                </c:pt>
                <c:pt idx="20">
                  <c:v>28</c:v>
                </c:pt>
                <c:pt idx="21">
                  <c:v>36</c:v>
                </c:pt>
                <c:pt idx="22">
                  <c:v>34</c:v>
                </c:pt>
                <c:pt idx="23">
                  <c:v>23</c:v>
                </c:pt>
                <c:pt idx="24">
                  <c:v>26</c:v>
                </c:pt>
                <c:pt idx="25">
                  <c:v>33</c:v>
                </c:pt>
                <c:pt idx="26">
                  <c:v>40</c:v>
                </c:pt>
                <c:pt idx="27">
                  <c:v>21</c:v>
                </c:pt>
                <c:pt idx="28">
                  <c:v>33</c:v>
                </c:pt>
                <c:pt idx="29">
                  <c:v>38</c:v>
                </c:pt>
                <c:pt idx="30">
                  <c:v>39</c:v>
                </c:pt>
                <c:pt idx="31">
                  <c:v>36</c:v>
                </c:pt>
              </c:numCache>
            </c:numRef>
          </c:val>
          <c:smooth val="0"/>
        </c:ser>
        <c:dLbls>
          <c:showLegendKey val="0"/>
          <c:showVal val="0"/>
          <c:showCatName val="0"/>
          <c:showSerName val="0"/>
          <c:showPercent val="0"/>
          <c:showBubbleSize val="0"/>
        </c:dLbls>
        <c:marker val="1"/>
        <c:smooth val="0"/>
        <c:axId val="296939520"/>
        <c:axId val="296941056"/>
      </c:lineChart>
      <c:catAx>
        <c:axId val="296927616"/>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296929152"/>
        <c:crosses val="autoZero"/>
        <c:auto val="0"/>
        <c:lblAlgn val="ctr"/>
        <c:lblOffset val="100"/>
        <c:tickLblSkip val="1"/>
        <c:tickMarkSkip val="1"/>
        <c:noMultiLvlLbl val="0"/>
      </c:catAx>
      <c:valAx>
        <c:axId val="2969291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a:t>Expenditure (£)</a:t>
                </a:r>
              </a:p>
            </c:rich>
          </c:tx>
          <c:layout>
            <c:manualLayout>
              <c:xMode val="edge"/>
              <c:yMode val="edge"/>
              <c:x val="2.9465983011738556E-2"/>
              <c:y val="0.3633440514469453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6927616"/>
        <c:crosses val="autoZero"/>
        <c:crossBetween val="between"/>
      </c:valAx>
      <c:catAx>
        <c:axId val="296939520"/>
        <c:scaling>
          <c:orientation val="minMax"/>
        </c:scaling>
        <c:delete val="1"/>
        <c:axPos val="b"/>
        <c:majorTickMark val="out"/>
        <c:minorTickMark val="none"/>
        <c:tickLblPos val="nextTo"/>
        <c:crossAx val="296941056"/>
        <c:crosses val="autoZero"/>
        <c:auto val="0"/>
        <c:lblAlgn val="ctr"/>
        <c:lblOffset val="100"/>
        <c:noMultiLvlLbl val="0"/>
      </c:catAx>
      <c:valAx>
        <c:axId val="296941056"/>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6939520"/>
        <c:crosses val="max"/>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383491411538"/>
          <c:y val="8.0247155451736871E-2"/>
          <c:w val="0.75735362095877345"/>
          <c:h val="0.61419938211137071"/>
        </c:manualLayout>
      </c:layout>
      <c:barChart>
        <c:barDir val="col"/>
        <c:grouping val="clustered"/>
        <c:varyColors val="0"/>
        <c:ser>
          <c:idx val="1"/>
          <c:order val="0"/>
          <c:tx>
            <c:strRef>
              <c:f>'Per Capita Data - C&amp;F'!$C$2</c:f>
              <c:strCache>
                <c:ptCount val="1"/>
                <c:pt idx="0">
                  <c:v>C&amp;F Spend per Capita</c:v>
                </c:pt>
              </c:strCache>
            </c:strRef>
          </c:tx>
          <c:spPr>
            <a:solidFill>
              <a:srgbClr val="333399"/>
            </a:solidFill>
            <a:ln w="12700">
              <a:solidFill>
                <a:srgbClr val="000000"/>
              </a:solidFill>
              <a:prstDash val="solid"/>
            </a:ln>
          </c:spPr>
          <c:invertIfNegative val="0"/>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C&amp;F'!$C$3:$C$34</c:f>
              <c:numCache>
                <c:formatCode>#,##0</c:formatCode>
                <c:ptCount val="32"/>
                <c:pt idx="0">
                  <c:v>1397.4424692894934</c:v>
                </c:pt>
                <c:pt idx="1">
                  <c:v>1125.291149068323</c:v>
                </c:pt>
                <c:pt idx="2">
                  <c:v>1123.4299605878671</c:v>
                </c:pt>
                <c:pt idx="3">
                  <c:v>1097.2982559858112</c:v>
                </c:pt>
                <c:pt idx="4">
                  <c:v>1066.9657879977565</c:v>
                </c:pt>
                <c:pt idx="5">
                  <c:v>1059.8849832756293</c:v>
                </c:pt>
                <c:pt idx="6">
                  <c:v>1028.8906624102153</c:v>
                </c:pt>
                <c:pt idx="7">
                  <c:v>1012.7153404429861</c:v>
                </c:pt>
                <c:pt idx="8">
                  <c:v>1008.4865007475157</c:v>
                </c:pt>
                <c:pt idx="9">
                  <c:v>985.53172324494733</c:v>
                </c:pt>
                <c:pt idx="10">
                  <c:v>985.30510585305115</c:v>
                </c:pt>
                <c:pt idx="11">
                  <c:v>970.26022304832713</c:v>
                </c:pt>
                <c:pt idx="12">
                  <c:v>914.56808501840135</c:v>
                </c:pt>
                <c:pt idx="13">
                  <c:v>884.65375124691548</c:v>
                </c:pt>
                <c:pt idx="14">
                  <c:v>861.78709010617308</c:v>
                </c:pt>
                <c:pt idx="15">
                  <c:v>846.67165295437553</c:v>
                </c:pt>
                <c:pt idx="16">
                  <c:v>837.60512615138157</c:v>
                </c:pt>
                <c:pt idx="17">
                  <c:v>810.01248846174735</c:v>
                </c:pt>
                <c:pt idx="18">
                  <c:v>786.50082312054144</c:v>
                </c:pt>
                <c:pt idx="19">
                  <c:v>740.41599999999994</c:v>
                </c:pt>
                <c:pt idx="20">
                  <c:v>705.26315789473676</c:v>
                </c:pt>
                <c:pt idx="21">
                  <c:v>634.99099598282316</c:v>
                </c:pt>
                <c:pt idx="22">
                  <c:v>629.95845022905644</c:v>
                </c:pt>
                <c:pt idx="23">
                  <c:v>625.56140837260875</c:v>
                </c:pt>
                <c:pt idx="24">
                  <c:v>623.73950513082491</c:v>
                </c:pt>
                <c:pt idx="25">
                  <c:v>608.58123032097376</c:v>
                </c:pt>
                <c:pt idx="26">
                  <c:v>599.47849421533624</c:v>
                </c:pt>
                <c:pt idx="27">
                  <c:v>513.89759665621739</c:v>
                </c:pt>
                <c:pt idx="28">
                  <c:v>501.40162493467</c:v>
                </c:pt>
                <c:pt idx="29">
                  <c:v>470.24548841966828</c:v>
                </c:pt>
                <c:pt idx="30">
                  <c:v>464.68138275718451</c:v>
                </c:pt>
                <c:pt idx="31">
                  <c:v>379.68456084502964</c:v>
                </c:pt>
              </c:numCache>
            </c:numRef>
          </c:val>
        </c:ser>
        <c:ser>
          <c:idx val="0"/>
          <c:order val="1"/>
          <c:tx>
            <c:strRef>
              <c:f>'Per Capita Data - C&amp;F'!$D$2</c:f>
              <c:strCache>
                <c:ptCount val="1"/>
                <c:pt idx="0">
                  <c:v>Highlight</c:v>
                </c:pt>
              </c:strCache>
            </c:strRef>
          </c:tx>
          <c:spPr>
            <a:solidFill>
              <a:srgbClr val="FFFF00"/>
            </a:solidFill>
            <a:ln w="12700">
              <a:solidFill>
                <a:srgbClr val="000000"/>
              </a:solidFill>
              <a:prstDash val="solid"/>
            </a:ln>
          </c:spPr>
          <c:invertIfNegative val="0"/>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C&amp;F'!$D$3:$D$34</c:f>
              <c:numCache>
                <c:formatCode>#,##0</c:formatCode>
                <c:ptCount val="32"/>
                <c:pt idx="0">
                  <c:v>0</c:v>
                </c:pt>
                <c:pt idx="1">
                  <c:v>0</c:v>
                </c:pt>
                <c:pt idx="2">
                  <c:v>0</c:v>
                </c:pt>
                <c:pt idx="3">
                  <c:v>0</c:v>
                </c:pt>
                <c:pt idx="4">
                  <c:v>0</c:v>
                </c:pt>
                <c:pt idx="5">
                  <c:v>0</c:v>
                </c:pt>
                <c:pt idx="6">
                  <c:v>1028.8906624102153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297006976"/>
        <c:axId val="297008512"/>
      </c:barChart>
      <c:lineChart>
        <c:grouping val="standard"/>
        <c:varyColors val="0"/>
        <c:ser>
          <c:idx val="2"/>
          <c:order val="2"/>
          <c:tx>
            <c:strRef>
              <c:f>'Per Capita Data - C&amp;F'!$E$2</c:f>
              <c:strCache>
                <c:ptCount val="1"/>
                <c:pt idx="0">
                  <c:v>Average Spend per Capita</c:v>
                </c:pt>
              </c:strCache>
            </c:strRef>
          </c:tx>
          <c:spPr>
            <a:ln w="25400">
              <a:solidFill>
                <a:srgbClr val="000000"/>
              </a:solidFill>
              <a:prstDash val="solid"/>
            </a:ln>
          </c:spPr>
          <c:marker>
            <c:symbol val="none"/>
          </c:marker>
          <c:cat>
            <c:strRef>
              <c:f>'Per Capita Data - C&amp;F'!$B$3:$B$34</c:f>
              <c:strCache>
                <c:ptCount val="32"/>
                <c:pt idx="0">
                  <c:v>Glasgow City</c:v>
                </c:pt>
                <c:pt idx="1">
                  <c:v>Clackmannanshire</c:v>
                </c:pt>
                <c:pt idx="2">
                  <c:v>Dundee City</c:v>
                </c:pt>
                <c:pt idx="3">
                  <c:v>Edinburgh</c:v>
                </c:pt>
                <c:pt idx="4">
                  <c:v>North Ayrshire</c:v>
                </c:pt>
                <c:pt idx="5">
                  <c:v>Renfrewshire</c:v>
                </c:pt>
                <c:pt idx="6">
                  <c:v>Aberdeen City</c:v>
                </c:pt>
                <c:pt idx="7">
                  <c:v>Shetland Islands</c:v>
                </c:pt>
                <c:pt idx="8">
                  <c:v>Highland</c:v>
                </c:pt>
                <c:pt idx="9">
                  <c:v>West Dunbartonshire</c:v>
                </c:pt>
                <c:pt idx="10">
                  <c:v>East Ayrshire</c:v>
                </c:pt>
                <c:pt idx="11">
                  <c:v>South Ayrshire</c:v>
                </c:pt>
                <c:pt idx="12">
                  <c:v>Fife</c:v>
                </c:pt>
                <c:pt idx="13">
                  <c:v>Moray</c:v>
                </c:pt>
                <c:pt idx="14">
                  <c:v>Falkirk</c:v>
                </c:pt>
                <c:pt idx="15">
                  <c:v>Orkney Islands</c:v>
                </c:pt>
                <c:pt idx="16">
                  <c:v>Inverclyde</c:v>
                </c:pt>
                <c:pt idx="17">
                  <c:v>Midlothian</c:v>
                </c:pt>
                <c:pt idx="18">
                  <c:v>Dumfries &amp; Galloway</c:v>
                </c:pt>
                <c:pt idx="19">
                  <c:v>Argyll &amp; Bute</c:v>
                </c:pt>
                <c:pt idx="20">
                  <c:v>Eilean Siar</c:v>
                </c:pt>
                <c:pt idx="21">
                  <c:v>Scottish Borders</c:v>
                </c:pt>
                <c:pt idx="22">
                  <c:v>Perth &amp; Kinross</c:v>
                </c:pt>
                <c:pt idx="23">
                  <c:v>Stirling</c:v>
                </c:pt>
                <c:pt idx="24">
                  <c:v>Angus</c:v>
                </c:pt>
                <c:pt idx="25">
                  <c:v>East Lothian</c:v>
                </c:pt>
                <c:pt idx="26">
                  <c:v>West Lothian</c:v>
                </c:pt>
                <c:pt idx="27">
                  <c:v>South Lanarkshire</c:v>
                </c:pt>
                <c:pt idx="28">
                  <c:v>East Dunbartonshire</c:v>
                </c:pt>
                <c:pt idx="29">
                  <c:v>Aberdeenshire</c:v>
                </c:pt>
                <c:pt idx="30">
                  <c:v>North Lanarkshire</c:v>
                </c:pt>
                <c:pt idx="31">
                  <c:v>East Renfrewshire</c:v>
                </c:pt>
              </c:strCache>
            </c:strRef>
          </c:cat>
          <c:val>
            <c:numRef>
              <c:f>'Per Capita Data - C&amp;F'!$E$3:$E$34</c:f>
              <c:numCache>
                <c:formatCode>#,##0</c:formatCode>
                <c:ptCount val="32"/>
                <c:pt idx="0">
                  <c:v>856</c:v>
                </c:pt>
                <c:pt idx="1">
                  <c:v>856</c:v>
                </c:pt>
                <c:pt idx="2">
                  <c:v>856</c:v>
                </c:pt>
                <c:pt idx="3">
                  <c:v>856</c:v>
                </c:pt>
                <c:pt idx="4">
                  <c:v>856</c:v>
                </c:pt>
                <c:pt idx="5">
                  <c:v>856</c:v>
                </c:pt>
                <c:pt idx="6">
                  <c:v>856</c:v>
                </c:pt>
                <c:pt idx="7">
                  <c:v>856</c:v>
                </c:pt>
                <c:pt idx="8">
                  <c:v>856</c:v>
                </c:pt>
                <c:pt idx="9">
                  <c:v>856</c:v>
                </c:pt>
                <c:pt idx="10">
                  <c:v>856</c:v>
                </c:pt>
                <c:pt idx="11">
                  <c:v>856</c:v>
                </c:pt>
                <c:pt idx="12">
                  <c:v>856</c:v>
                </c:pt>
                <c:pt idx="13">
                  <c:v>856</c:v>
                </c:pt>
                <c:pt idx="14">
                  <c:v>856</c:v>
                </c:pt>
                <c:pt idx="15">
                  <c:v>856</c:v>
                </c:pt>
                <c:pt idx="16">
                  <c:v>856</c:v>
                </c:pt>
                <c:pt idx="17">
                  <c:v>856</c:v>
                </c:pt>
                <c:pt idx="18">
                  <c:v>856</c:v>
                </c:pt>
                <c:pt idx="19">
                  <c:v>856</c:v>
                </c:pt>
                <c:pt idx="20">
                  <c:v>856</c:v>
                </c:pt>
                <c:pt idx="21">
                  <c:v>856</c:v>
                </c:pt>
                <c:pt idx="22">
                  <c:v>856</c:v>
                </c:pt>
                <c:pt idx="23">
                  <c:v>856</c:v>
                </c:pt>
                <c:pt idx="24">
                  <c:v>856</c:v>
                </c:pt>
                <c:pt idx="25">
                  <c:v>856</c:v>
                </c:pt>
                <c:pt idx="26">
                  <c:v>856</c:v>
                </c:pt>
                <c:pt idx="27">
                  <c:v>856</c:v>
                </c:pt>
                <c:pt idx="28">
                  <c:v>856</c:v>
                </c:pt>
                <c:pt idx="29">
                  <c:v>856</c:v>
                </c:pt>
                <c:pt idx="30">
                  <c:v>856</c:v>
                </c:pt>
                <c:pt idx="31">
                  <c:v>856</c:v>
                </c:pt>
              </c:numCache>
            </c:numRef>
          </c:val>
          <c:smooth val="0"/>
        </c:ser>
        <c:dLbls>
          <c:showLegendKey val="0"/>
          <c:showVal val="0"/>
          <c:showCatName val="0"/>
          <c:showSerName val="0"/>
          <c:showPercent val="0"/>
          <c:showBubbleSize val="0"/>
        </c:dLbls>
        <c:marker val="1"/>
        <c:smooth val="0"/>
        <c:axId val="297006976"/>
        <c:axId val="297008512"/>
      </c:lineChart>
      <c:lineChart>
        <c:grouping val="standard"/>
        <c:varyColors val="0"/>
        <c:ser>
          <c:idx val="3"/>
          <c:order val="3"/>
          <c:tx>
            <c:strRef>
              <c:f>'Per Capita Data - C&amp;F'!$F$2</c:f>
              <c:strCache>
                <c:ptCount val="1"/>
                <c:pt idx="0">
                  <c:v>Deprivation</c:v>
                </c:pt>
              </c:strCache>
            </c:strRef>
          </c:tx>
          <c:spPr>
            <a:ln w="25400">
              <a:solidFill>
                <a:srgbClr val="FF0000"/>
              </a:solidFill>
              <a:prstDash val="solid"/>
            </a:ln>
          </c:spPr>
          <c:marker>
            <c:symbol val="none"/>
          </c:marker>
          <c:val>
            <c:numRef>
              <c:f>'Per Capita Data - C&amp;F'!$F$3:$F$34</c:f>
              <c:numCache>
                <c:formatCode>0.0%</c:formatCode>
                <c:ptCount val="32"/>
                <c:pt idx="0">
                  <c:v>8.2901554404145081E-2</c:v>
                </c:pt>
                <c:pt idx="1">
                  <c:v>0.14285714285714285</c:v>
                </c:pt>
                <c:pt idx="2">
                  <c:v>0.26815642458100558</c:v>
                </c:pt>
                <c:pt idx="3">
                  <c:v>2.5000000000000001E-2</c:v>
                </c:pt>
                <c:pt idx="4">
                  <c:v>0.53458213256484155</c:v>
                </c:pt>
                <c:pt idx="5">
                  <c:v>0.33898305084745761</c:v>
                </c:pt>
                <c:pt idx="6">
                  <c:v>0.14720812182741116</c:v>
                </c:pt>
                <c:pt idx="7">
                  <c:v>0.31818181818181818</c:v>
                </c:pt>
                <c:pt idx="8">
                  <c:v>9.0163934426229511E-2</c:v>
                </c:pt>
                <c:pt idx="9">
                  <c:v>2.6578073089700997E-2</c:v>
                </c:pt>
                <c:pt idx="10">
                  <c:v>5.7142857142857141E-2</c:v>
                </c:pt>
                <c:pt idx="11">
                  <c:v>0</c:v>
                </c:pt>
                <c:pt idx="12">
                  <c:v>0.44545454545454544</c:v>
                </c:pt>
                <c:pt idx="13">
                  <c:v>4.6153846153846156E-2</c:v>
                </c:pt>
                <c:pt idx="14">
                  <c:v>8.2191780821917804E-2</c:v>
                </c:pt>
                <c:pt idx="15">
                  <c:v>0.265625</c:v>
                </c:pt>
                <c:pt idx="16">
                  <c:v>1.7241379310344827E-2</c:v>
                </c:pt>
                <c:pt idx="17">
                  <c:v>6.3380281690140844E-2</c:v>
                </c:pt>
                <c:pt idx="18">
                  <c:v>0.1348314606741573</c:v>
                </c:pt>
                <c:pt idx="19">
                  <c:v>0.14218009478672985</c:v>
                </c:pt>
                <c:pt idx="20">
                  <c:v>0.13843351548269581</c:v>
                </c:pt>
                <c:pt idx="21">
                  <c:v>0.37988826815642457</c:v>
                </c:pt>
                <c:pt idx="22">
                  <c:v>4.7244094488188976E-2</c:v>
                </c:pt>
                <c:pt idx="23">
                  <c:v>9.0909090909090912E-2</c:v>
                </c:pt>
                <c:pt idx="24">
                  <c:v>0</c:v>
                </c:pt>
                <c:pt idx="25">
                  <c:v>0.28037383177570091</c:v>
                </c:pt>
                <c:pt idx="26">
                  <c:v>8.9285714285714288E-2</c:v>
                </c:pt>
                <c:pt idx="27">
                  <c:v>6.6666666666666666E-2</c:v>
                </c:pt>
                <c:pt idx="28">
                  <c:v>0.20100502512562815</c:v>
                </c:pt>
                <c:pt idx="29">
                  <c:v>0</c:v>
                </c:pt>
                <c:pt idx="30">
                  <c:v>0.17660044150110377</c:v>
                </c:pt>
                <c:pt idx="31">
                  <c:v>0.25974025974025972</c:v>
                </c:pt>
              </c:numCache>
            </c:numRef>
          </c:val>
          <c:smooth val="0"/>
        </c:ser>
        <c:dLbls>
          <c:showLegendKey val="0"/>
          <c:showVal val="0"/>
          <c:showCatName val="0"/>
          <c:showSerName val="0"/>
          <c:showPercent val="0"/>
          <c:showBubbleSize val="0"/>
        </c:dLbls>
        <c:marker val="1"/>
        <c:smooth val="0"/>
        <c:axId val="346109056"/>
        <c:axId val="346110592"/>
      </c:lineChart>
      <c:catAx>
        <c:axId val="297006976"/>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97008512"/>
        <c:crosses val="autoZero"/>
        <c:auto val="0"/>
        <c:lblAlgn val="ctr"/>
        <c:lblOffset val="100"/>
        <c:tickLblSkip val="1"/>
        <c:tickMarkSkip val="1"/>
        <c:noMultiLvlLbl val="0"/>
      </c:catAx>
      <c:valAx>
        <c:axId val="297008512"/>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7006976"/>
        <c:crosses val="autoZero"/>
        <c:crossBetween val="between"/>
      </c:valAx>
      <c:catAx>
        <c:axId val="346109056"/>
        <c:scaling>
          <c:orientation val="minMax"/>
        </c:scaling>
        <c:delete val="1"/>
        <c:axPos val="b"/>
        <c:majorTickMark val="out"/>
        <c:minorTickMark val="none"/>
        <c:tickLblPos val="nextTo"/>
        <c:crossAx val="346110592"/>
        <c:crosses val="autoZero"/>
        <c:auto val="0"/>
        <c:lblAlgn val="ctr"/>
        <c:lblOffset val="100"/>
        <c:noMultiLvlLbl val="0"/>
      </c:catAx>
      <c:valAx>
        <c:axId val="346110592"/>
        <c:scaling>
          <c:orientation val="minMax"/>
        </c:scaling>
        <c:delete val="0"/>
        <c:axPos val="r"/>
        <c:numFmt formatCode="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109056"/>
        <c:crosses val="max"/>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Older people services, 2014/15
(per head of population aged 65+)</a:t>
            </a:r>
          </a:p>
        </c:rich>
      </c:tx>
      <c:layout>
        <c:manualLayout>
          <c:xMode val="edge"/>
          <c:yMode val="edge"/>
          <c:x val="0.21311492468856036"/>
          <c:y val="3.3033129906654426E-2"/>
        </c:manualLayout>
      </c:layout>
      <c:overlay val="0"/>
      <c:spPr>
        <a:noFill/>
        <a:ln w="25400">
          <a:noFill/>
        </a:ln>
      </c:spPr>
    </c:title>
    <c:autoTitleDeleted val="0"/>
    <c:plotArea>
      <c:layout>
        <c:manualLayout>
          <c:layoutTarget val="inner"/>
          <c:xMode val="edge"/>
          <c:yMode val="edge"/>
          <c:x val="0.14590175613293749"/>
          <c:y val="0.20720781486901413"/>
          <c:w val="0.81967278726369375"/>
          <c:h val="0.49249393679012055"/>
        </c:manualLayout>
      </c:layout>
      <c:barChart>
        <c:barDir val="col"/>
        <c:grouping val="clustered"/>
        <c:varyColors val="0"/>
        <c:ser>
          <c:idx val="1"/>
          <c:order val="0"/>
          <c:tx>
            <c:strRef>
              <c:f>'Per Capita Data - Older'!$C$2</c:f>
              <c:strCache>
                <c:ptCount val="1"/>
                <c:pt idx="0">
                  <c:v>C&amp;F Spend per Capita</c:v>
                </c:pt>
              </c:strCache>
            </c:strRef>
          </c:tx>
          <c:spPr>
            <a:solidFill>
              <a:srgbClr val="0000FF"/>
            </a:solidFill>
            <a:ln w="12700">
              <a:solidFill>
                <a:srgbClr val="000000"/>
              </a:solidFill>
              <a:prstDash val="solid"/>
            </a:ln>
          </c:spPr>
          <c:invertIfNegative val="0"/>
          <c:cat>
            <c:strRef>
              <c:f>'Per Capita Data - Older'!$B$3:$B$34</c:f>
              <c:strCache>
                <c:ptCount val="32"/>
                <c:pt idx="0">
                  <c:v>Shetland Islands</c:v>
                </c:pt>
                <c:pt idx="1">
                  <c:v>Orkney Islands</c:v>
                </c:pt>
                <c:pt idx="2">
                  <c:v>Eilean Siar</c:v>
                </c:pt>
                <c:pt idx="3">
                  <c:v>Glasgow City</c:v>
                </c:pt>
                <c:pt idx="4">
                  <c:v>West Dunbartonshire</c:v>
                </c:pt>
                <c:pt idx="5">
                  <c:v>Inverclyde</c:v>
                </c:pt>
                <c:pt idx="6">
                  <c:v>Edinburgh</c:v>
                </c:pt>
                <c:pt idx="7">
                  <c:v>Dundee City</c:v>
                </c:pt>
                <c:pt idx="8">
                  <c:v>Aberdeen City</c:v>
                </c:pt>
                <c:pt idx="9">
                  <c:v>East Dunbartonshire</c:v>
                </c:pt>
                <c:pt idx="10">
                  <c:v>North Ayrshire</c:v>
                </c:pt>
                <c:pt idx="11">
                  <c:v>Clackmannanshire</c:v>
                </c:pt>
                <c:pt idx="12">
                  <c:v>Renfrewshire</c:v>
                </c:pt>
                <c:pt idx="13">
                  <c:v>Falkirk</c:v>
                </c:pt>
                <c:pt idx="14">
                  <c:v>East Ayrshire</c:v>
                </c:pt>
                <c:pt idx="15">
                  <c:v>South Lanarkshire</c:v>
                </c:pt>
                <c:pt idx="16">
                  <c:v>South Ayrshire</c:v>
                </c:pt>
                <c:pt idx="17">
                  <c:v>Argyll &amp; Bute</c:v>
                </c:pt>
                <c:pt idx="18">
                  <c:v>Aberdeenshire</c:v>
                </c:pt>
                <c:pt idx="19">
                  <c:v>Midlothian</c:v>
                </c:pt>
                <c:pt idx="20">
                  <c:v>North Lanarkshire</c:v>
                </c:pt>
                <c:pt idx="21">
                  <c:v>East Renfrewshire</c:v>
                </c:pt>
                <c:pt idx="22">
                  <c:v>Angus</c:v>
                </c:pt>
                <c:pt idx="23">
                  <c:v>Fife</c:v>
                </c:pt>
                <c:pt idx="24">
                  <c:v>Dumfries &amp; Galloway</c:v>
                </c:pt>
                <c:pt idx="25">
                  <c:v>Stirling</c:v>
                </c:pt>
                <c:pt idx="26">
                  <c:v>East Lothian</c:v>
                </c:pt>
                <c:pt idx="27">
                  <c:v>Moray</c:v>
                </c:pt>
                <c:pt idx="28">
                  <c:v>West Lothian</c:v>
                </c:pt>
                <c:pt idx="29">
                  <c:v>Scottish Borders</c:v>
                </c:pt>
                <c:pt idx="30">
                  <c:v>Perth &amp; Kinross</c:v>
                </c:pt>
                <c:pt idx="31">
                  <c:v>Highland</c:v>
                </c:pt>
              </c:strCache>
            </c:strRef>
          </c:cat>
          <c:val>
            <c:numRef>
              <c:f>'Per Capita Data - Older'!$C$3:$C$34</c:f>
              <c:numCache>
                <c:formatCode>#,##0</c:formatCode>
                <c:ptCount val="32"/>
                <c:pt idx="0">
                  <c:v>4277.845478917865</c:v>
                </c:pt>
                <c:pt idx="1">
                  <c:v>2958.114035087719</c:v>
                </c:pt>
                <c:pt idx="2">
                  <c:v>2837.8550909671244</c:v>
                </c:pt>
                <c:pt idx="3">
                  <c:v>2658.2803428255461</c:v>
                </c:pt>
                <c:pt idx="4">
                  <c:v>2366.4604279453465</c:v>
                </c:pt>
                <c:pt idx="5">
                  <c:v>2193.454309786131</c:v>
                </c:pt>
                <c:pt idx="6">
                  <c:v>2173.9022094246634</c:v>
                </c:pt>
                <c:pt idx="7">
                  <c:v>2084.8956490979836</c:v>
                </c:pt>
                <c:pt idx="8">
                  <c:v>2080.6513807729953</c:v>
                </c:pt>
                <c:pt idx="9">
                  <c:v>2071.168878385748</c:v>
                </c:pt>
                <c:pt idx="10">
                  <c:v>2049.6889943551573</c:v>
                </c:pt>
                <c:pt idx="11">
                  <c:v>1832.7974276527329</c:v>
                </c:pt>
                <c:pt idx="12">
                  <c:v>1831.911949280726</c:v>
                </c:pt>
                <c:pt idx="13">
                  <c:v>1791.6084430389058</c:v>
                </c:pt>
                <c:pt idx="14">
                  <c:v>1788.7002675790675</c:v>
                </c:pt>
                <c:pt idx="15">
                  <c:v>1777.4211282342301</c:v>
                </c:pt>
                <c:pt idx="16">
                  <c:v>1776.8742255266418</c:v>
                </c:pt>
                <c:pt idx="17">
                  <c:v>1750.8244422890398</c:v>
                </c:pt>
                <c:pt idx="18">
                  <c:v>1738.7561964849033</c:v>
                </c:pt>
                <c:pt idx="19">
                  <c:v>1698.9431968295905</c:v>
                </c:pt>
                <c:pt idx="20">
                  <c:v>1692.7849307644872</c:v>
                </c:pt>
                <c:pt idx="21">
                  <c:v>1658.5379981464318</c:v>
                </c:pt>
                <c:pt idx="22">
                  <c:v>1635.7772435897434</c:v>
                </c:pt>
                <c:pt idx="23">
                  <c:v>1591.3121594992465</c:v>
                </c:pt>
                <c:pt idx="24">
                  <c:v>1572.3950899229233</c:v>
                </c:pt>
                <c:pt idx="25">
                  <c:v>1548.3053913882522</c:v>
                </c:pt>
                <c:pt idx="26">
                  <c:v>1518.3246073298428</c:v>
                </c:pt>
                <c:pt idx="27">
                  <c:v>1506.5743195714517</c:v>
                </c:pt>
                <c:pt idx="28">
                  <c:v>1496.6256148244177</c:v>
                </c:pt>
                <c:pt idx="29">
                  <c:v>1471.4030036573029</c:v>
                </c:pt>
                <c:pt idx="30">
                  <c:v>1392.8470143374823</c:v>
                </c:pt>
                <c:pt idx="31">
                  <c:v>1172.2996927440322</c:v>
                </c:pt>
              </c:numCache>
            </c:numRef>
          </c:val>
        </c:ser>
        <c:ser>
          <c:idx val="0"/>
          <c:order val="1"/>
          <c:tx>
            <c:strRef>
              <c:f>'Per Capita Data - Older'!$D$2</c:f>
              <c:strCache>
                <c:ptCount val="1"/>
              </c:strCache>
            </c:strRef>
          </c:tx>
          <c:spPr>
            <a:solidFill>
              <a:srgbClr val="FFFF00"/>
            </a:solidFill>
            <a:ln w="12700">
              <a:solidFill>
                <a:srgbClr val="000000"/>
              </a:solidFill>
              <a:prstDash val="solid"/>
            </a:ln>
          </c:spPr>
          <c:invertIfNegative val="0"/>
          <c:cat>
            <c:strRef>
              <c:f>'Per Capita Data - Older'!$B$3:$B$34</c:f>
              <c:strCache>
                <c:ptCount val="32"/>
                <c:pt idx="0">
                  <c:v>Shetland Islands</c:v>
                </c:pt>
                <c:pt idx="1">
                  <c:v>Orkney Islands</c:v>
                </c:pt>
                <c:pt idx="2">
                  <c:v>Eilean Siar</c:v>
                </c:pt>
                <c:pt idx="3">
                  <c:v>Glasgow City</c:v>
                </c:pt>
                <c:pt idx="4">
                  <c:v>West Dunbartonshire</c:v>
                </c:pt>
                <c:pt idx="5">
                  <c:v>Inverclyde</c:v>
                </c:pt>
                <c:pt idx="6">
                  <c:v>Edinburgh</c:v>
                </c:pt>
                <c:pt idx="7">
                  <c:v>Dundee City</c:v>
                </c:pt>
                <c:pt idx="8">
                  <c:v>Aberdeen City</c:v>
                </c:pt>
                <c:pt idx="9">
                  <c:v>East Dunbartonshire</c:v>
                </c:pt>
                <c:pt idx="10">
                  <c:v>North Ayrshire</c:v>
                </c:pt>
                <c:pt idx="11">
                  <c:v>Clackmannanshire</c:v>
                </c:pt>
                <c:pt idx="12">
                  <c:v>Renfrewshire</c:v>
                </c:pt>
                <c:pt idx="13">
                  <c:v>Falkirk</c:v>
                </c:pt>
                <c:pt idx="14">
                  <c:v>East Ayrshire</c:v>
                </c:pt>
                <c:pt idx="15">
                  <c:v>South Lanarkshire</c:v>
                </c:pt>
                <c:pt idx="16">
                  <c:v>South Ayrshire</c:v>
                </c:pt>
                <c:pt idx="17">
                  <c:v>Argyll &amp; Bute</c:v>
                </c:pt>
                <c:pt idx="18">
                  <c:v>Aberdeenshire</c:v>
                </c:pt>
                <c:pt idx="19">
                  <c:v>Midlothian</c:v>
                </c:pt>
                <c:pt idx="20">
                  <c:v>North Lanarkshire</c:v>
                </c:pt>
                <c:pt idx="21">
                  <c:v>East Renfrewshire</c:v>
                </c:pt>
                <c:pt idx="22">
                  <c:v>Angus</c:v>
                </c:pt>
                <c:pt idx="23">
                  <c:v>Fife</c:v>
                </c:pt>
                <c:pt idx="24">
                  <c:v>Dumfries &amp; Galloway</c:v>
                </c:pt>
                <c:pt idx="25">
                  <c:v>Stirling</c:v>
                </c:pt>
                <c:pt idx="26">
                  <c:v>East Lothian</c:v>
                </c:pt>
                <c:pt idx="27">
                  <c:v>Moray</c:v>
                </c:pt>
                <c:pt idx="28">
                  <c:v>West Lothian</c:v>
                </c:pt>
                <c:pt idx="29">
                  <c:v>Scottish Borders</c:v>
                </c:pt>
                <c:pt idx="30">
                  <c:v>Perth &amp; Kinross</c:v>
                </c:pt>
                <c:pt idx="31">
                  <c:v>Highland</c:v>
                </c:pt>
              </c:strCache>
            </c:strRef>
          </c:cat>
          <c:val>
            <c:numRef>
              <c:f>'Per Capita Data - Older'!$D$3:$D$34</c:f>
              <c:numCache>
                <c:formatCode>#,##0</c:formatCode>
                <c:ptCount val="32"/>
                <c:pt idx="0">
                  <c:v>0</c:v>
                </c:pt>
                <c:pt idx="1">
                  <c:v>0</c:v>
                </c:pt>
                <c:pt idx="2">
                  <c:v>0</c:v>
                </c:pt>
                <c:pt idx="3">
                  <c:v>0</c:v>
                </c:pt>
                <c:pt idx="4">
                  <c:v>0</c:v>
                </c:pt>
                <c:pt idx="5">
                  <c:v>0</c:v>
                </c:pt>
                <c:pt idx="6">
                  <c:v>0</c:v>
                </c:pt>
                <c:pt idx="7">
                  <c:v>0</c:v>
                </c:pt>
                <c:pt idx="8">
                  <c:v>2080.6513807729953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3283328"/>
        <c:axId val="313284864"/>
      </c:barChart>
      <c:lineChart>
        <c:grouping val="standard"/>
        <c:varyColors val="0"/>
        <c:ser>
          <c:idx val="2"/>
          <c:order val="2"/>
          <c:tx>
            <c:strRef>
              <c:f>'Per Capita Data - Older'!$E$2</c:f>
              <c:strCache>
                <c:ptCount val="1"/>
                <c:pt idx="0">
                  <c:v>Average Spend per Capita</c:v>
                </c:pt>
              </c:strCache>
            </c:strRef>
          </c:tx>
          <c:spPr>
            <a:ln w="25400">
              <a:solidFill>
                <a:srgbClr val="FF0000"/>
              </a:solidFill>
              <a:prstDash val="solid"/>
            </a:ln>
          </c:spPr>
          <c:marker>
            <c:symbol val="none"/>
          </c:marker>
          <c:cat>
            <c:strRef>
              <c:f>'Per Capita Data - Older'!$B$3:$B$34</c:f>
              <c:strCache>
                <c:ptCount val="32"/>
                <c:pt idx="0">
                  <c:v>Shetland Islands</c:v>
                </c:pt>
                <c:pt idx="1">
                  <c:v>Orkney Islands</c:v>
                </c:pt>
                <c:pt idx="2">
                  <c:v>Eilean Siar</c:v>
                </c:pt>
                <c:pt idx="3">
                  <c:v>Glasgow City</c:v>
                </c:pt>
                <c:pt idx="4">
                  <c:v>West Dunbartonshire</c:v>
                </c:pt>
                <c:pt idx="5">
                  <c:v>Inverclyde</c:v>
                </c:pt>
                <c:pt idx="6">
                  <c:v>Edinburgh</c:v>
                </c:pt>
                <c:pt idx="7">
                  <c:v>Dundee City</c:v>
                </c:pt>
                <c:pt idx="8">
                  <c:v>Aberdeen City</c:v>
                </c:pt>
                <c:pt idx="9">
                  <c:v>East Dunbartonshire</c:v>
                </c:pt>
                <c:pt idx="10">
                  <c:v>North Ayrshire</c:v>
                </c:pt>
                <c:pt idx="11">
                  <c:v>Clackmannanshire</c:v>
                </c:pt>
                <c:pt idx="12">
                  <c:v>Renfrewshire</c:v>
                </c:pt>
                <c:pt idx="13">
                  <c:v>Falkirk</c:v>
                </c:pt>
                <c:pt idx="14">
                  <c:v>East Ayrshire</c:v>
                </c:pt>
                <c:pt idx="15">
                  <c:v>South Lanarkshire</c:v>
                </c:pt>
                <c:pt idx="16">
                  <c:v>South Ayrshire</c:v>
                </c:pt>
                <c:pt idx="17">
                  <c:v>Argyll &amp; Bute</c:v>
                </c:pt>
                <c:pt idx="18">
                  <c:v>Aberdeenshire</c:v>
                </c:pt>
                <c:pt idx="19">
                  <c:v>Midlothian</c:v>
                </c:pt>
                <c:pt idx="20">
                  <c:v>North Lanarkshire</c:v>
                </c:pt>
                <c:pt idx="21">
                  <c:v>East Renfrewshire</c:v>
                </c:pt>
                <c:pt idx="22">
                  <c:v>Angus</c:v>
                </c:pt>
                <c:pt idx="23">
                  <c:v>Fife</c:v>
                </c:pt>
                <c:pt idx="24">
                  <c:v>Dumfries &amp; Galloway</c:v>
                </c:pt>
                <c:pt idx="25">
                  <c:v>Stirling</c:v>
                </c:pt>
                <c:pt idx="26">
                  <c:v>East Lothian</c:v>
                </c:pt>
                <c:pt idx="27">
                  <c:v>Moray</c:v>
                </c:pt>
                <c:pt idx="28">
                  <c:v>West Lothian</c:v>
                </c:pt>
                <c:pt idx="29">
                  <c:v>Scottish Borders</c:v>
                </c:pt>
                <c:pt idx="30">
                  <c:v>Perth &amp; Kinross</c:v>
                </c:pt>
                <c:pt idx="31">
                  <c:v>Highland</c:v>
                </c:pt>
              </c:strCache>
            </c:strRef>
          </c:cat>
          <c:val>
            <c:numRef>
              <c:f>'Per Capita Data - Older'!$E$3:$E$34</c:f>
              <c:numCache>
                <c:formatCode>#,##0</c:formatCode>
                <c:ptCount val="32"/>
                <c:pt idx="0">
                  <c:v>1853</c:v>
                </c:pt>
                <c:pt idx="1">
                  <c:v>1853</c:v>
                </c:pt>
                <c:pt idx="2">
                  <c:v>1853</c:v>
                </c:pt>
                <c:pt idx="3">
                  <c:v>1853</c:v>
                </c:pt>
                <c:pt idx="4">
                  <c:v>1853</c:v>
                </c:pt>
                <c:pt idx="5">
                  <c:v>1853</c:v>
                </c:pt>
                <c:pt idx="6">
                  <c:v>1853</c:v>
                </c:pt>
                <c:pt idx="7">
                  <c:v>1853</c:v>
                </c:pt>
                <c:pt idx="8">
                  <c:v>1853</c:v>
                </c:pt>
                <c:pt idx="9">
                  <c:v>1853</c:v>
                </c:pt>
                <c:pt idx="10">
                  <c:v>1853</c:v>
                </c:pt>
                <c:pt idx="11">
                  <c:v>1853</c:v>
                </c:pt>
                <c:pt idx="12">
                  <c:v>1853</c:v>
                </c:pt>
                <c:pt idx="13">
                  <c:v>1853</c:v>
                </c:pt>
                <c:pt idx="14">
                  <c:v>1853</c:v>
                </c:pt>
                <c:pt idx="15">
                  <c:v>1853</c:v>
                </c:pt>
                <c:pt idx="16">
                  <c:v>1853</c:v>
                </c:pt>
                <c:pt idx="17">
                  <c:v>1853</c:v>
                </c:pt>
                <c:pt idx="18">
                  <c:v>1853</c:v>
                </c:pt>
                <c:pt idx="19">
                  <c:v>1853</c:v>
                </c:pt>
                <c:pt idx="20">
                  <c:v>1853</c:v>
                </c:pt>
                <c:pt idx="21">
                  <c:v>1853</c:v>
                </c:pt>
                <c:pt idx="22">
                  <c:v>1853</c:v>
                </c:pt>
                <c:pt idx="23">
                  <c:v>1853</c:v>
                </c:pt>
                <c:pt idx="24">
                  <c:v>1853</c:v>
                </c:pt>
                <c:pt idx="25">
                  <c:v>1853</c:v>
                </c:pt>
                <c:pt idx="26">
                  <c:v>1853</c:v>
                </c:pt>
                <c:pt idx="27">
                  <c:v>1853</c:v>
                </c:pt>
                <c:pt idx="28">
                  <c:v>1853</c:v>
                </c:pt>
                <c:pt idx="29">
                  <c:v>1853</c:v>
                </c:pt>
                <c:pt idx="30">
                  <c:v>1853</c:v>
                </c:pt>
                <c:pt idx="31">
                  <c:v>1853</c:v>
                </c:pt>
              </c:numCache>
            </c:numRef>
          </c:val>
          <c:smooth val="0"/>
        </c:ser>
        <c:dLbls>
          <c:showLegendKey val="0"/>
          <c:showVal val="0"/>
          <c:showCatName val="0"/>
          <c:showSerName val="0"/>
          <c:showPercent val="0"/>
          <c:showBubbleSize val="0"/>
        </c:dLbls>
        <c:marker val="1"/>
        <c:smooth val="0"/>
        <c:axId val="313291136"/>
        <c:axId val="313292672"/>
      </c:lineChart>
      <c:catAx>
        <c:axId val="313283328"/>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3284864"/>
        <c:crosses val="autoZero"/>
        <c:auto val="0"/>
        <c:lblAlgn val="ctr"/>
        <c:lblOffset val="100"/>
        <c:tickLblSkip val="1"/>
        <c:tickMarkSkip val="1"/>
        <c:noMultiLvlLbl val="0"/>
      </c:catAx>
      <c:valAx>
        <c:axId val="3132848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65+ (£)</a:t>
                </a:r>
              </a:p>
            </c:rich>
          </c:tx>
          <c:layout>
            <c:manualLayout>
              <c:xMode val="edge"/>
              <c:yMode val="edge"/>
              <c:x val="8.1967278726369375E-3"/>
              <c:y val="9.6096377910267428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283328"/>
        <c:crosses val="autoZero"/>
        <c:crossBetween val="between"/>
      </c:valAx>
      <c:catAx>
        <c:axId val="313291136"/>
        <c:scaling>
          <c:orientation val="minMax"/>
        </c:scaling>
        <c:delete val="1"/>
        <c:axPos val="b"/>
        <c:majorTickMark val="out"/>
        <c:minorTickMark val="none"/>
        <c:tickLblPos val="nextTo"/>
        <c:crossAx val="313292672"/>
        <c:crosses val="autoZero"/>
        <c:auto val="0"/>
        <c:lblAlgn val="ctr"/>
        <c:lblOffset val="100"/>
        <c:noMultiLvlLbl val="0"/>
      </c:catAx>
      <c:valAx>
        <c:axId val="313292672"/>
        <c:scaling>
          <c:orientation val="minMax"/>
        </c:scaling>
        <c:delete val="1"/>
        <c:axPos val="l"/>
        <c:numFmt formatCode="#,##0" sourceLinked="1"/>
        <c:majorTickMark val="out"/>
        <c:minorTickMark val="none"/>
        <c:tickLblPos val="nextTo"/>
        <c:crossAx val="31329113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Calibri"/>
                <a:ea typeface="Calibri"/>
                <a:cs typeface="Calibri"/>
              </a:defRPr>
            </a:pPr>
            <a:r>
              <a:rPr lang="en-GB"/>
              <a:t>Social work expenditure: Services for people with learning disabilities, 2014/15
(per head of population aged 18-64)</a:t>
            </a:r>
          </a:p>
        </c:rich>
      </c:tx>
      <c:layout>
        <c:manualLayout>
          <c:xMode val="edge"/>
          <c:yMode val="edge"/>
          <c:x val="0.15359501633191688"/>
          <c:y val="2.2222291115733865E-2"/>
        </c:manualLayout>
      </c:layout>
      <c:overlay val="0"/>
      <c:spPr>
        <a:noFill/>
        <a:ln w="25400">
          <a:noFill/>
        </a:ln>
      </c:spPr>
    </c:title>
    <c:autoTitleDeleted val="0"/>
    <c:plotArea>
      <c:layout>
        <c:manualLayout>
          <c:layoutTarget val="inner"/>
          <c:xMode val="edge"/>
          <c:yMode val="edge"/>
          <c:x val="0.13725512097745765"/>
          <c:y val="0.2380959762400057"/>
          <c:w val="0.83170067354197552"/>
          <c:h val="0.44762043533121071"/>
        </c:manualLayout>
      </c:layout>
      <c:barChart>
        <c:barDir val="col"/>
        <c:grouping val="clustered"/>
        <c:varyColors val="0"/>
        <c:ser>
          <c:idx val="1"/>
          <c:order val="0"/>
          <c:tx>
            <c:strRef>
              <c:f>'Per Capita Data - LD'!$C$2</c:f>
              <c:strCache>
                <c:ptCount val="1"/>
                <c:pt idx="0">
                  <c:v>C&amp;F Spend per Capita</c:v>
                </c:pt>
              </c:strCache>
            </c:strRef>
          </c:tx>
          <c:spPr>
            <a:solidFill>
              <a:srgbClr val="0000FF"/>
            </a:solidFill>
            <a:ln w="12700">
              <a:solidFill>
                <a:srgbClr val="000000"/>
              </a:solidFill>
              <a:prstDash val="solid"/>
            </a:ln>
          </c:spPr>
          <c:invertIfNegative val="0"/>
          <c:cat>
            <c:strRef>
              <c:f>'Per Capita Data - LD'!$B$3:$B$34</c:f>
              <c:strCache>
                <c:ptCount val="32"/>
                <c:pt idx="0">
                  <c:v>Shetland Islands</c:v>
                </c:pt>
                <c:pt idx="1">
                  <c:v>Scottish Borders</c:v>
                </c:pt>
                <c:pt idx="2">
                  <c:v>Argyll &amp; Bute</c:v>
                </c:pt>
                <c:pt idx="3">
                  <c:v>Dumfries &amp; Galloway</c:v>
                </c:pt>
                <c:pt idx="4">
                  <c:v>East Lothian</c:v>
                </c:pt>
                <c:pt idx="5">
                  <c:v>Aberdeenshire</c:v>
                </c:pt>
                <c:pt idx="6">
                  <c:v>South Ayrshire</c:v>
                </c:pt>
                <c:pt idx="7">
                  <c:v>Orkney Islands</c:v>
                </c:pt>
                <c:pt idx="8">
                  <c:v>Fife</c:v>
                </c:pt>
                <c:pt idx="9">
                  <c:v>East Dunbartonshire</c:v>
                </c:pt>
                <c:pt idx="10">
                  <c:v>Eilean Siar</c:v>
                </c:pt>
                <c:pt idx="11">
                  <c:v>East Renfrewshire</c:v>
                </c:pt>
                <c:pt idx="12">
                  <c:v>Dundee City</c:v>
                </c:pt>
                <c:pt idx="13">
                  <c:v>West Dunbartonshire</c:v>
                </c:pt>
                <c:pt idx="14">
                  <c:v>North Lanarkshire</c:v>
                </c:pt>
                <c:pt idx="15">
                  <c:v>Renfrewshire</c:v>
                </c:pt>
                <c:pt idx="16">
                  <c:v>East Ayrshire</c:v>
                </c:pt>
                <c:pt idx="17">
                  <c:v>Highland</c:v>
                </c:pt>
                <c:pt idx="18">
                  <c:v>Aberdeen City</c:v>
                </c:pt>
                <c:pt idx="19">
                  <c:v>Midlothian</c:v>
                </c:pt>
                <c:pt idx="20">
                  <c:v>Edinburgh</c:v>
                </c:pt>
                <c:pt idx="21">
                  <c:v>Stirling</c:v>
                </c:pt>
                <c:pt idx="22">
                  <c:v>South Lanarkshire</c:v>
                </c:pt>
                <c:pt idx="23">
                  <c:v>Perth &amp; Kinross</c:v>
                </c:pt>
                <c:pt idx="24">
                  <c:v>North Ayrshire</c:v>
                </c:pt>
                <c:pt idx="25">
                  <c:v>Falkirk</c:v>
                </c:pt>
                <c:pt idx="26">
                  <c:v>Inverclyde</c:v>
                </c:pt>
                <c:pt idx="27">
                  <c:v>Moray</c:v>
                </c:pt>
                <c:pt idx="28">
                  <c:v>Angus</c:v>
                </c:pt>
                <c:pt idx="29">
                  <c:v>Glasgow City</c:v>
                </c:pt>
                <c:pt idx="30">
                  <c:v>West Lothian</c:v>
                </c:pt>
                <c:pt idx="31">
                  <c:v>Clackmannanshire</c:v>
                </c:pt>
              </c:strCache>
            </c:strRef>
          </c:cat>
          <c:val>
            <c:numRef>
              <c:f>'Per Capita Data - LD'!$C$3:$C$34</c:f>
              <c:numCache>
                <c:formatCode>#,##0</c:formatCode>
                <c:ptCount val="32"/>
                <c:pt idx="0">
                  <c:v>425.15224472454327</c:v>
                </c:pt>
                <c:pt idx="1">
                  <c:v>281.5632476302959</c:v>
                </c:pt>
                <c:pt idx="2">
                  <c:v>280.14845943876048</c:v>
                </c:pt>
                <c:pt idx="3">
                  <c:v>268.9659143251958</c:v>
                </c:pt>
                <c:pt idx="4">
                  <c:v>268.67401060791514</c:v>
                </c:pt>
                <c:pt idx="5">
                  <c:v>258.37688479907979</c:v>
                </c:pt>
                <c:pt idx="6">
                  <c:v>258.12147967727208</c:v>
                </c:pt>
                <c:pt idx="7">
                  <c:v>257.89146322500392</c:v>
                </c:pt>
                <c:pt idx="8">
                  <c:v>252.41003720131633</c:v>
                </c:pt>
                <c:pt idx="9">
                  <c:v>241.42469750551072</c:v>
                </c:pt>
                <c:pt idx="10">
                  <c:v>241.35962965311688</c:v>
                </c:pt>
                <c:pt idx="11">
                  <c:v>239.87175210348789</c:v>
                </c:pt>
                <c:pt idx="12">
                  <c:v>234.96826312752452</c:v>
                </c:pt>
                <c:pt idx="13">
                  <c:v>222.77949702984384</c:v>
                </c:pt>
                <c:pt idx="14">
                  <c:v>212.25512485316963</c:v>
                </c:pt>
                <c:pt idx="15">
                  <c:v>210.88221998763802</c:v>
                </c:pt>
                <c:pt idx="16">
                  <c:v>209.49836350277204</c:v>
                </c:pt>
                <c:pt idx="17">
                  <c:v>203.72346902959148</c:v>
                </c:pt>
                <c:pt idx="18">
                  <c:v>200.49764857864693</c:v>
                </c:pt>
                <c:pt idx="19">
                  <c:v>198.00689919509389</c:v>
                </c:pt>
                <c:pt idx="20">
                  <c:v>191.26761911599303</c:v>
                </c:pt>
                <c:pt idx="21">
                  <c:v>187.29817007534984</c:v>
                </c:pt>
                <c:pt idx="22">
                  <c:v>186.36951730274561</c:v>
                </c:pt>
                <c:pt idx="23">
                  <c:v>183.86712771384842</c:v>
                </c:pt>
                <c:pt idx="24">
                  <c:v>183.45133288185681</c:v>
                </c:pt>
                <c:pt idx="25">
                  <c:v>182.85421994884911</c:v>
                </c:pt>
                <c:pt idx="26">
                  <c:v>181.53170553194951</c:v>
                </c:pt>
                <c:pt idx="27">
                  <c:v>180.62536373736839</c:v>
                </c:pt>
                <c:pt idx="28">
                  <c:v>169.36190086986983</c:v>
                </c:pt>
                <c:pt idx="29">
                  <c:v>168.64559037139534</c:v>
                </c:pt>
                <c:pt idx="30">
                  <c:v>146.86162560283753</c:v>
                </c:pt>
                <c:pt idx="31">
                  <c:v>140.41258674778973</c:v>
                </c:pt>
              </c:numCache>
            </c:numRef>
          </c:val>
        </c:ser>
        <c:ser>
          <c:idx val="0"/>
          <c:order val="1"/>
          <c:tx>
            <c:strRef>
              <c:f>'Per Capita Data - LD'!$D$2</c:f>
              <c:strCache>
                <c:ptCount val="1"/>
              </c:strCache>
            </c:strRef>
          </c:tx>
          <c:spPr>
            <a:solidFill>
              <a:srgbClr val="FFFF00"/>
            </a:solidFill>
            <a:ln w="12700">
              <a:solidFill>
                <a:srgbClr val="000000"/>
              </a:solidFill>
              <a:prstDash val="solid"/>
            </a:ln>
          </c:spPr>
          <c:invertIfNegative val="0"/>
          <c:cat>
            <c:strRef>
              <c:f>'Per Capita Data - LD'!$B$3:$B$34</c:f>
              <c:strCache>
                <c:ptCount val="32"/>
                <c:pt idx="0">
                  <c:v>Shetland Islands</c:v>
                </c:pt>
                <c:pt idx="1">
                  <c:v>Scottish Borders</c:v>
                </c:pt>
                <c:pt idx="2">
                  <c:v>Argyll &amp; Bute</c:v>
                </c:pt>
                <c:pt idx="3">
                  <c:v>Dumfries &amp; Galloway</c:v>
                </c:pt>
                <c:pt idx="4">
                  <c:v>East Lothian</c:v>
                </c:pt>
                <c:pt idx="5">
                  <c:v>Aberdeenshire</c:v>
                </c:pt>
                <c:pt idx="6">
                  <c:v>South Ayrshire</c:v>
                </c:pt>
                <c:pt idx="7">
                  <c:v>Orkney Islands</c:v>
                </c:pt>
                <c:pt idx="8">
                  <c:v>Fife</c:v>
                </c:pt>
                <c:pt idx="9">
                  <c:v>East Dunbartonshire</c:v>
                </c:pt>
                <c:pt idx="10">
                  <c:v>Eilean Siar</c:v>
                </c:pt>
                <c:pt idx="11">
                  <c:v>East Renfrewshire</c:v>
                </c:pt>
                <c:pt idx="12">
                  <c:v>Dundee City</c:v>
                </c:pt>
                <c:pt idx="13">
                  <c:v>West Dunbartonshire</c:v>
                </c:pt>
                <c:pt idx="14">
                  <c:v>North Lanarkshire</c:v>
                </c:pt>
                <c:pt idx="15">
                  <c:v>Renfrewshire</c:v>
                </c:pt>
                <c:pt idx="16">
                  <c:v>East Ayrshire</c:v>
                </c:pt>
                <c:pt idx="17">
                  <c:v>Highland</c:v>
                </c:pt>
                <c:pt idx="18">
                  <c:v>Aberdeen City</c:v>
                </c:pt>
                <c:pt idx="19">
                  <c:v>Midlothian</c:v>
                </c:pt>
                <c:pt idx="20">
                  <c:v>Edinburgh</c:v>
                </c:pt>
                <c:pt idx="21">
                  <c:v>Stirling</c:v>
                </c:pt>
                <c:pt idx="22">
                  <c:v>South Lanarkshire</c:v>
                </c:pt>
                <c:pt idx="23">
                  <c:v>Perth &amp; Kinross</c:v>
                </c:pt>
                <c:pt idx="24">
                  <c:v>North Ayrshire</c:v>
                </c:pt>
                <c:pt idx="25">
                  <c:v>Falkirk</c:v>
                </c:pt>
                <c:pt idx="26">
                  <c:v>Inverclyde</c:v>
                </c:pt>
                <c:pt idx="27">
                  <c:v>Moray</c:v>
                </c:pt>
                <c:pt idx="28">
                  <c:v>Angus</c:v>
                </c:pt>
                <c:pt idx="29">
                  <c:v>Glasgow City</c:v>
                </c:pt>
                <c:pt idx="30">
                  <c:v>West Lothian</c:v>
                </c:pt>
                <c:pt idx="31">
                  <c:v>Clackmannanshire</c:v>
                </c:pt>
              </c:strCache>
            </c:strRef>
          </c:cat>
          <c:val>
            <c:numRef>
              <c:f>'Per Capita Data - LD'!$D$3:$D$34</c:f>
              <c:numCache>
                <c:formatCode>#,##0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200.49764857864693</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er>
        <c:dLbls>
          <c:showLegendKey val="0"/>
          <c:showVal val="0"/>
          <c:showCatName val="0"/>
          <c:showSerName val="0"/>
          <c:showPercent val="0"/>
          <c:showBubbleSize val="0"/>
        </c:dLbls>
        <c:gapWidth val="150"/>
        <c:overlap val="100"/>
        <c:axId val="313315712"/>
        <c:axId val="313317248"/>
      </c:barChart>
      <c:lineChart>
        <c:grouping val="standard"/>
        <c:varyColors val="0"/>
        <c:ser>
          <c:idx val="2"/>
          <c:order val="2"/>
          <c:tx>
            <c:strRef>
              <c:f>'Per Capita Data - LD'!$E$2</c:f>
              <c:strCache>
                <c:ptCount val="1"/>
                <c:pt idx="0">
                  <c:v>Average Spend per Capita</c:v>
                </c:pt>
              </c:strCache>
            </c:strRef>
          </c:tx>
          <c:spPr>
            <a:ln w="25400">
              <a:solidFill>
                <a:srgbClr val="FF0000"/>
              </a:solidFill>
              <a:prstDash val="solid"/>
            </a:ln>
          </c:spPr>
          <c:marker>
            <c:symbol val="none"/>
          </c:marker>
          <c:cat>
            <c:strRef>
              <c:f>'Per Capita Data - LD'!$B$3:$B$34</c:f>
              <c:strCache>
                <c:ptCount val="32"/>
                <c:pt idx="0">
                  <c:v>Shetland Islands</c:v>
                </c:pt>
                <c:pt idx="1">
                  <c:v>Scottish Borders</c:v>
                </c:pt>
                <c:pt idx="2">
                  <c:v>Argyll &amp; Bute</c:v>
                </c:pt>
                <c:pt idx="3">
                  <c:v>Dumfries &amp; Galloway</c:v>
                </c:pt>
                <c:pt idx="4">
                  <c:v>East Lothian</c:v>
                </c:pt>
                <c:pt idx="5">
                  <c:v>Aberdeenshire</c:v>
                </c:pt>
                <c:pt idx="6">
                  <c:v>South Ayrshire</c:v>
                </c:pt>
                <c:pt idx="7">
                  <c:v>Orkney Islands</c:v>
                </c:pt>
                <c:pt idx="8">
                  <c:v>Fife</c:v>
                </c:pt>
                <c:pt idx="9">
                  <c:v>East Dunbartonshire</c:v>
                </c:pt>
                <c:pt idx="10">
                  <c:v>Eilean Siar</c:v>
                </c:pt>
                <c:pt idx="11">
                  <c:v>East Renfrewshire</c:v>
                </c:pt>
                <c:pt idx="12">
                  <c:v>Dundee City</c:v>
                </c:pt>
                <c:pt idx="13">
                  <c:v>West Dunbartonshire</c:v>
                </c:pt>
                <c:pt idx="14">
                  <c:v>North Lanarkshire</c:v>
                </c:pt>
                <c:pt idx="15">
                  <c:v>Renfrewshire</c:v>
                </c:pt>
                <c:pt idx="16">
                  <c:v>East Ayrshire</c:v>
                </c:pt>
                <c:pt idx="17">
                  <c:v>Highland</c:v>
                </c:pt>
                <c:pt idx="18">
                  <c:v>Aberdeen City</c:v>
                </c:pt>
                <c:pt idx="19">
                  <c:v>Midlothian</c:v>
                </c:pt>
                <c:pt idx="20">
                  <c:v>Edinburgh</c:v>
                </c:pt>
                <c:pt idx="21">
                  <c:v>Stirling</c:v>
                </c:pt>
                <c:pt idx="22">
                  <c:v>South Lanarkshire</c:v>
                </c:pt>
                <c:pt idx="23">
                  <c:v>Perth &amp; Kinross</c:v>
                </c:pt>
                <c:pt idx="24">
                  <c:v>North Ayrshire</c:v>
                </c:pt>
                <c:pt idx="25">
                  <c:v>Falkirk</c:v>
                </c:pt>
                <c:pt idx="26">
                  <c:v>Inverclyde</c:v>
                </c:pt>
                <c:pt idx="27">
                  <c:v>Moray</c:v>
                </c:pt>
                <c:pt idx="28">
                  <c:v>Angus</c:v>
                </c:pt>
                <c:pt idx="29">
                  <c:v>Glasgow City</c:v>
                </c:pt>
                <c:pt idx="30">
                  <c:v>West Lothian</c:v>
                </c:pt>
                <c:pt idx="31">
                  <c:v>Clackmannanshire</c:v>
                </c:pt>
              </c:strCache>
            </c:strRef>
          </c:cat>
          <c:val>
            <c:numRef>
              <c:f>'Per Capita Data - LD'!$E$3:$E$34</c:f>
              <c:numCache>
                <c:formatCode>#,##0</c:formatCode>
                <c:ptCount val="32"/>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pt idx="21">
                  <c:v>48</c:v>
                </c:pt>
                <c:pt idx="22">
                  <c:v>48</c:v>
                </c:pt>
                <c:pt idx="23">
                  <c:v>48</c:v>
                </c:pt>
                <c:pt idx="24">
                  <c:v>48</c:v>
                </c:pt>
                <c:pt idx="25">
                  <c:v>48</c:v>
                </c:pt>
                <c:pt idx="26">
                  <c:v>48</c:v>
                </c:pt>
                <c:pt idx="27">
                  <c:v>48</c:v>
                </c:pt>
                <c:pt idx="28">
                  <c:v>48</c:v>
                </c:pt>
                <c:pt idx="29">
                  <c:v>48</c:v>
                </c:pt>
                <c:pt idx="30">
                  <c:v>48</c:v>
                </c:pt>
                <c:pt idx="31">
                  <c:v>48</c:v>
                </c:pt>
              </c:numCache>
            </c:numRef>
          </c:val>
          <c:smooth val="0"/>
        </c:ser>
        <c:dLbls>
          <c:showLegendKey val="0"/>
          <c:showVal val="0"/>
          <c:showCatName val="0"/>
          <c:showSerName val="0"/>
          <c:showPercent val="0"/>
          <c:showBubbleSize val="0"/>
        </c:dLbls>
        <c:marker val="1"/>
        <c:smooth val="0"/>
        <c:axId val="313323520"/>
        <c:axId val="313325056"/>
      </c:lineChart>
      <c:catAx>
        <c:axId val="313315712"/>
        <c:scaling>
          <c:orientation val="minMax"/>
        </c:scaling>
        <c:delete val="0"/>
        <c:axPos val="b"/>
        <c:numFmt formatCode="#,##0" sourceLinked="1"/>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Calibri"/>
                <a:ea typeface="Calibri"/>
                <a:cs typeface="Calibri"/>
              </a:defRPr>
            </a:pPr>
            <a:endParaRPr lang="en-US"/>
          </a:p>
        </c:txPr>
        <c:crossAx val="313317248"/>
        <c:crosses val="autoZero"/>
        <c:auto val="0"/>
        <c:lblAlgn val="ctr"/>
        <c:lblOffset val="100"/>
        <c:tickLblSkip val="1"/>
        <c:tickMarkSkip val="1"/>
        <c:noMultiLvlLbl val="0"/>
      </c:catAx>
      <c:valAx>
        <c:axId val="3133172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Expenditure per head of population aged 18-64 (£)</a:t>
                </a:r>
              </a:p>
            </c:rich>
          </c:tx>
          <c:layout>
            <c:manualLayout>
              <c:xMode val="edge"/>
              <c:yMode val="edge"/>
              <c:x val="8.1699476772296217E-3"/>
              <c:y val="0.1460321987605368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13315712"/>
        <c:crosses val="autoZero"/>
        <c:crossBetween val="between"/>
      </c:valAx>
      <c:catAx>
        <c:axId val="313323520"/>
        <c:scaling>
          <c:orientation val="minMax"/>
        </c:scaling>
        <c:delete val="1"/>
        <c:axPos val="b"/>
        <c:numFmt formatCode="#,##0" sourceLinked="1"/>
        <c:majorTickMark val="out"/>
        <c:minorTickMark val="none"/>
        <c:tickLblPos val="nextTo"/>
        <c:crossAx val="313325056"/>
        <c:crosses val="autoZero"/>
        <c:auto val="0"/>
        <c:lblAlgn val="ctr"/>
        <c:lblOffset val="100"/>
        <c:noMultiLvlLbl val="0"/>
      </c:catAx>
      <c:valAx>
        <c:axId val="313325056"/>
        <c:scaling>
          <c:orientation val="minMax"/>
        </c:scaling>
        <c:delete val="1"/>
        <c:axPos val="l"/>
        <c:numFmt formatCode="#,##0" sourceLinked="1"/>
        <c:majorTickMark val="out"/>
        <c:minorTickMark val="none"/>
        <c:tickLblPos val="nextTo"/>
        <c:crossAx val="31332352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18" Type="http://schemas.openxmlformats.org/officeDocument/2006/relationships/chart" Target="../charts/chart53.xml"/><Relationship Id="rId26" Type="http://schemas.openxmlformats.org/officeDocument/2006/relationships/chart" Target="../charts/chart61.xml"/><Relationship Id="rId3" Type="http://schemas.openxmlformats.org/officeDocument/2006/relationships/chart" Target="../charts/chart38.xml"/><Relationship Id="rId21" Type="http://schemas.openxmlformats.org/officeDocument/2006/relationships/chart" Target="../charts/chart56.xml"/><Relationship Id="rId34" Type="http://schemas.openxmlformats.org/officeDocument/2006/relationships/chart" Target="../charts/chart69.xml"/><Relationship Id="rId7" Type="http://schemas.openxmlformats.org/officeDocument/2006/relationships/chart" Target="../charts/chart42.xml"/><Relationship Id="rId12" Type="http://schemas.openxmlformats.org/officeDocument/2006/relationships/chart" Target="../charts/chart47.xml"/><Relationship Id="rId17" Type="http://schemas.openxmlformats.org/officeDocument/2006/relationships/chart" Target="../charts/chart52.xml"/><Relationship Id="rId25" Type="http://schemas.openxmlformats.org/officeDocument/2006/relationships/chart" Target="../charts/chart60.xml"/><Relationship Id="rId33" Type="http://schemas.openxmlformats.org/officeDocument/2006/relationships/chart" Target="../charts/chart68.xml"/><Relationship Id="rId2" Type="http://schemas.openxmlformats.org/officeDocument/2006/relationships/chart" Target="../charts/chart37.xml"/><Relationship Id="rId16" Type="http://schemas.openxmlformats.org/officeDocument/2006/relationships/chart" Target="../charts/chart51.xml"/><Relationship Id="rId20" Type="http://schemas.openxmlformats.org/officeDocument/2006/relationships/chart" Target="../charts/chart55.xml"/><Relationship Id="rId29" Type="http://schemas.openxmlformats.org/officeDocument/2006/relationships/chart" Target="../charts/chart64.xml"/><Relationship Id="rId1" Type="http://schemas.openxmlformats.org/officeDocument/2006/relationships/image" Target="../media/image1.png"/><Relationship Id="rId6" Type="http://schemas.openxmlformats.org/officeDocument/2006/relationships/chart" Target="../charts/chart41.xml"/><Relationship Id="rId11" Type="http://schemas.openxmlformats.org/officeDocument/2006/relationships/chart" Target="../charts/chart46.xml"/><Relationship Id="rId24" Type="http://schemas.openxmlformats.org/officeDocument/2006/relationships/chart" Target="../charts/chart59.xml"/><Relationship Id="rId32" Type="http://schemas.openxmlformats.org/officeDocument/2006/relationships/chart" Target="../charts/chart67.xml"/><Relationship Id="rId5" Type="http://schemas.openxmlformats.org/officeDocument/2006/relationships/chart" Target="../charts/chart40.xml"/><Relationship Id="rId15" Type="http://schemas.openxmlformats.org/officeDocument/2006/relationships/chart" Target="../charts/chart50.xml"/><Relationship Id="rId23" Type="http://schemas.openxmlformats.org/officeDocument/2006/relationships/chart" Target="../charts/chart58.xml"/><Relationship Id="rId28" Type="http://schemas.openxmlformats.org/officeDocument/2006/relationships/chart" Target="../charts/chart63.xml"/><Relationship Id="rId10" Type="http://schemas.openxmlformats.org/officeDocument/2006/relationships/chart" Target="../charts/chart45.xml"/><Relationship Id="rId19" Type="http://schemas.openxmlformats.org/officeDocument/2006/relationships/chart" Target="../charts/chart54.xml"/><Relationship Id="rId31" Type="http://schemas.openxmlformats.org/officeDocument/2006/relationships/chart" Target="../charts/chart66.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 Id="rId22" Type="http://schemas.openxmlformats.org/officeDocument/2006/relationships/chart" Target="../charts/chart57.xml"/><Relationship Id="rId27" Type="http://schemas.openxmlformats.org/officeDocument/2006/relationships/chart" Target="../charts/chart62.xml"/><Relationship Id="rId30" Type="http://schemas.openxmlformats.org/officeDocument/2006/relationships/chart" Target="../charts/chart65.xml"/><Relationship Id="rId35" Type="http://schemas.openxmlformats.org/officeDocument/2006/relationships/chart" Target="../charts/chart7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149</xdr:row>
      <xdr:rowOff>47625</xdr:rowOff>
    </xdr:from>
    <xdr:to>
      <xdr:col>8</xdr:col>
      <xdr:colOff>561975</xdr:colOff>
      <xdr:row>163</xdr:row>
      <xdr:rowOff>133350</xdr:rowOff>
    </xdr:to>
    <xdr:graphicFrame macro="">
      <xdr:nvGraphicFramePr>
        <xdr:cNvPr id="107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463</xdr:row>
      <xdr:rowOff>47625</xdr:rowOff>
    </xdr:from>
    <xdr:to>
      <xdr:col>8</xdr:col>
      <xdr:colOff>571500</xdr:colOff>
      <xdr:row>479</xdr:row>
      <xdr:rowOff>95250</xdr:rowOff>
    </xdr:to>
    <xdr:graphicFrame macro="">
      <xdr:nvGraphicFramePr>
        <xdr:cNvPr id="107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46382</xdr:colOff>
      <xdr:row>782</xdr:row>
      <xdr:rowOff>46383</xdr:rowOff>
    </xdr:from>
    <xdr:to>
      <xdr:col>8</xdr:col>
      <xdr:colOff>589307</xdr:colOff>
      <xdr:row>798</xdr:row>
      <xdr:rowOff>7869</xdr:rowOff>
    </xdr:to>
    <xdr:graphicFrame macro="">
      <xdr:nvGraphicFramePr>
        <xdr:cNvPr id="1080"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47625</xdr:colOff>
      <xdr:row>45</xdr:row>
      <xdr:rowOff>85725</xdr:rowOff>
    </xdr:from>
    <xdr:to>
      <xdr:col>8</xdr:col>
      <xdr:colOff>590550</xdr:colOff>
      <xdr:row>61</xdr:row>
      <xdr:rowOff>114300</xdr:rowOff>
    </xdr:to>
    <xdr:graphicFrame macro="">
      <xdr:nvGraphicFramePr>
        <xdr:cNvPr id="1083"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28575</xdr:colOff>
      <xdr:row>104</xdr:row>
      <xdr:rowOff>72473</xdr:rowOff>
    </xdr:from>
    <xdr:to>
      <xdr:col>8</xdr:col>
      <xdr:colOff>571500</xdr:colOff>
      <xdr:row>120</xdr:row>
      <xdr:rowOff>139147</xdr:rowOff>
    </xdr:to>
    <xdr:graphicFrame macro="">
      <xdr:nvGraphicFramePr>
        <xdr:cNvPr id="108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38100</xdr:colOff>
      <xdr:row>123</xdr:row>
      <xdr:rowOff>57150</xdr:rowOff>
    </xdr:from>
    <xdr:to>
      <xdr:col>8</xdr:col>
      <xdr:colOff>561975</xdr:colOff>
      <xdr:row>141</xdr:row>
      <xdr:rowOff>85725</xdr:rowOff>
    </xdr:to>
    <xdr:graphicFrame macro="">
      <xdr:nvGraphicFramePr>
        <xdr:cNvPr id="1102"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47625</xdr:colOff>
      <xdr:row>194</xdr:row>
      <xdr:rowOff>98181</xdr:rowOff>
    </xdr:from>
    <xdr:to>
      <xdr:col>8</xdr:col>
      <xdr:colOff>571500</xdr:colOff>
      <xdr:row>212</xdr:row>
      <xdr:rowOff>136281</xdr:rowOff>
    </xdr:to>
    <xdr:graphicFrame macro="">
      <xdr:nvGraphicFramePr>
        <xdr:cNvPr id="1108"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47625</xdr:colOff>
      <xdr:row>511</xdr:row>
      <xdr:rowOff>28575</xdr:rowOff>
    </xdr:from>
    <xdr:to>
      <xdr:col>8</xdr:col>
      <xdr:colOff>590550</xdr:colOff>
      <xdr:row>530</xdr:row>
      <xdr:rowOff>123825</xdr:rowOff>
    </xdr:to>
    <xdr:graphicFrame macro="">
      <xdr:nvGraphicFramePr>
        <xdr:cNvPr id="1109"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829</xdr:row>
      <xdr:rowOff>0</xdr:rowOff>
    </xdr:from>
    <xdr:to>
      <xdr:col>8</xdr:col>
      <xdr:colOff>561975</xdr:colOff>
      <xdr:row>847</xdr:row>
      <xdr:rowOff>85725</xdr:rowOff>
    </xdr:to>
    <xdr:graphicFrame macro="">
      <xdr:nvGraphicFramePr>
        <xdr:cNvPr id="1110"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47625</xdr:colOff>
      <xdr:row>171</xdr:row>
      <xdr:rowOff>38100</xdr:rowOff>
    </xdr:from>
    <xdr:to>
      <xdr:col>8</xdr:col>
      <xdr:colOff>600075</xdr:colOff>
      <xdr:row>188</xdr:row>
      <xdr:rowOff>104775</xdr:rowOff>
    </xdr:to>
    <xdr:graphicFrame macro="">
      <xdr:nvGraphicFramePr>
        <xdr:cNvPr id="1113"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57150</xdr:colOff>
      <xdr:row>487</xdr:row>
      <xdr:rowOff>47625</xdr:rowOff>
    </xdr:from>
    <xdr:to>
      <xdr:col>8</xdr:col>
      <xdr:colOff>581025</xdr:colOff>
      <xdr:row>505</xdr:row>
      <xdr:rowOff>133350</xdr:rowOff>
    </xdr:to>
    <xdr:graphicFrame macro="">
      <xdr:nvGraphicFramePr>
        <xdr:cNvPr id="1114"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47625</xdr:colOff>
      <xdr:row>803</xdr:row>
      <xdr:rowOff>47625</xdr:rowOff>
    </xdr:from>
    <xdr:to>
      <xdr:col>8</xdr:col>
      <xdr:colOff>571500</xdr:colOff>
      <xdr:row>819</xdr:row>
      <xdr:rowOff>114299</xdr:rowOff>
    </xdr:to>
    <xdr:graphicFrame macro="">
      <xdr:nvGraphicFramePr>
        <xdr:cNvPr id="1115"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66675</xdr:colOff>
      <xdr:row>219</xdr:row>
      <xdr:rowOff>47625</xdr:rowOff>
    </xdr:from>
    <xdr:to>
      <xdr:col>8</xdr:col>
      <xdr:colOff>571500</xdr:colOff>
      <xdr:row>234</xdr:row>
      <xdr:rowOff>85724</xdr:rowOff>
    </xdr:to>
    <xdr:graphicFrame macro="">
      <xdr:nvGraphicFramePr>
        <xdr:cNvPr id="1126"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85725</xdr:colOff>
      <xdr:row>306</xdr:row>
      <xdr:rowOff>19050</xdr:rowOff>
    </xdr:from>
    <xdr:to>
      <xdr:col>8</xdr:col>
      <xdr:colOff>571500</xdr:colOff>
      <xdr:row>323</xdr:row>
      <xdr:rowOff>104775</xdr:rowOff>
    </xdr:to>
    <xdr:graphicFrame macro="">
      <xdr:nvGraphicFramePr>
        <xdr:cNvPr id="1128"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28575</xdr:colOff>
      <xdr:row>328</xdr:row>
      <xdr:rowOff>38100</xdr:rowOff>
    </xdr:from>
    <xdr:to>
      <xdr:col>8</xdr:col>
      <xdr:colOff>533400</xdr:colOff>
      <xdr:row>355</xdr:row>
      <xdr:rowOff>95251</xdr:rowOff>
    </xdr:to>
    <xdr:graphicFrame macro="">
      <xdr:nvGraphicFramePr>
        <xdr:cNvPr id="1129"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57150</xdr:colOff>
      <xdr:row>583</xdr:row>
      <xdr:rowOff>38100</xdr:rowOff>
    </xdr:from>
    <xdr:to>
      <xdr:col>8</xdr:col>
      <xdr:colOff>581025</xdr:colOff>
      <xdr:row>597</xdr:row>
      <xdr:rowOff>114300</xdr:rowOff>
    </xdr:to>
    <xdr:graphicFrame macro="">
      <xdr:nvGraphicFramePr>
        <xdr:cNvPr id="1130"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76200</xdr:colOff>
      <xdr:row>694</xdr:row>
      <xdr:rowOff>76200</xdr:rowOff>
    </xdr:from>
    <xdr:to>
      <xdr:col>8</xdr:col>
      <xdr:colOff>561975</xdr:colOff>
      <xdr:row>712</xdr:row>
      <xdr:rowOff>123825</xdr:rowOff>
    </xdr:to>
    <xdr:graphicFrame macro="">
      <xdr:nvGraphicFramePr>
        <xdr:cNvPr id="1131"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28575</xdr:colOff>
      <xdr:row>751</xdr:row>
      <xdr:rowOff>66675</xdr:rowOff>
    </xdr:from>
    <xdr:to>
      <xdr:col>8</xdr:col>
      <xdr:colOff>590550</xdr:colOff>
      <xdr:row>772</xdr:row>
      <xdr:rowOff>123825</xdr:rowOff>
    </xdr:to>
    <xdr:graphicFrame macro="">
      <xdr:nvGraphicFramePr>
        <xdr:cNvPr id="1132"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47625</xdr:colOff>
      <xdr:row>719</xdr:row>
      <xdr:rowOff>38100</xdr:rowOff>
    </xdr:from>
    <xdr:to>
      <xdr:col>8</xdr:col>
      <xdr:colOff>561975</xdr:colOff>
      <xdr:row>739</xdr:row>
      <xdr:rowOff>95250</xdr:rowOff>
    </xdr:to>
    <xdr:graphicFrame macro="">
      <xdr:nvGraphicFramePr>
        <xdr:cNvPr id="1133"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31060</xdr:colOff>
      <xdr:row>856</xdr:row>
      <xdr:rowOff>29817</xdr:rowOff>
    </xdr:from>
    <xdr:to>
      <xdr:col>8</xdr:col>
      <xdr:colOff>554935</xdr:colOff>
      <xdr:row>870</xdr:row>
      <xdr:rowOff>252619</xdr:rowOff>
    </xdr:to>
    <xdr:graphicFrame macro="">
      <xdr:nvGraphicFramePr>
        <xdr:cNvPr id="1156"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38100</xdr:colOff>
      <xdr:row>877</xdr:row>
      <xdr:rowOff>47625</xdr:rowOff>
    </xdr:from>
    <xdr:to>
      <xdr:col>8</xdr:col>
      <xdr:colOff>542925</xdr:colOff>
      <xdr:row>895</xdr:row>
      <xdr:rowOff>104775</xdr:rowOff>
    </xdr:to>
    <xdr:graphicFrame macro="">
      <xdr:nvGraphicFramePr>
        <xdr:cNvPr id="1157"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0</xdr:col>
      <xdr:colOff>38100</xdr:colOff>
      <xdr:row>902</xdr:row>
      <xdr:rowOff>19050</xdr:rowOff>
    </xdr:from>
    <xdr:to>
      <xdr:col>8</xdr:col>
      <xdr:colOff>571500</xdr:colOff>
      <xdr:row>920</xdr:row>
      <xdr:rowOff>133349</xdr:rowOff>
    </xdr:to>
    <xdr:graphicFrame macro="">
      <xdr:nvGraphicFramePr>
        <xdr:cNvPr id="1158"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0</xdr:col>
      <xdr:colOff>47625</xdr:colOff>
      <xdr:row>929</xdr:row>
      <xdr:rowOff>28574</xdr:rowOff>
    </xdr:from>
    <xdr:to>
      <xdr:col>8</xdr:col>
      <xdr:colOff>596348</xdr:colOff>
      <xdr:row>945</xdr:row>
      <xdr:rowOff>8281</xdr:rowOff>
    </xdr:to>
    <xdr:graphicFrame macro="">
      <xdr:nvGraphicFramePr>
        <xdr:cNvPr id="1159"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76200</xdr:colOff>
      <xdr:row>951</xdr:row>
      <xdr:rowOff>66675</xdr:rowOff>
    </xdr:from>
    <xdr:to>
      <xdr:col>8</xdr:col>
      <xdr:colOff>561975</xdr:colOff>
      <xdr:row>969</xdr:row>
      <xdr:rowOff>104775</xdr:rowOff>
    </xdr:to>
    <xdr:graphicFrame macro="">
      <xdr:nvGraphicFramePr>
        <xdr:cNvPr id="1160"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85725</xdr:colOff>
      <xdr:row>975</xdr:row>
      <xdr:rowOff>57150</xdr:rowOff>
    </xdr:from>
    <xdr:to>
      <xdr:col>8</xdr:col>
      <xdr:colOff>552450</xdr:colOff>
      <xdr:row>995</xdr:row>
      <xdr:rowOff>85725</xdr:rowOff>
    </xdr:to>
    <xdr:graphicFrame macro="">
      <xdr:nvGraphicFramePr>
        <xdr:cNvPr id="1161"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0</xdr:col>
      <xdr:colOff>28575</xdr:colOff>
      <xdr:row>240</xdr:row>
      <xdr:rowOff>57150</xdr:rowOff>
    </xdr:from>
    <xdr:to>
      <xdr:col>8</xdr:col>
      <xdr:colOff>552450</xdr:colOff>
      <xdr:row>255</xdr:row>
      <xdr:rowOff>171450</xdr:rowOff>
    </xdr:to>
    <xdr:graphicFrame macro="">
      <xdr:nvGraphicFramePr>
        <xdr:cNvPr id="1173"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0</xdr:col>
      <xdr:colOff>28575</xdr:colOff>
      <xdr:row>536</xdr:row>
      <xdr:rowOff>28575</xdr:rowOff>
    </xdr:from>
    <xdr:to>
      <xdr:col>8</xdr:col>
      <xdr:colOff>581025</xdr:colOff>
      <xdr:row>553</xdr:row>
      <xdr:rowOff>114300</xdr:rowOff>
    </xdr:to>
    <xdr:graphicFrame macro="">
      <xdr:nvGraphicFramePr>
        <xdr:cNvPr id="1177"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28575</xdr:colOff>
      <xdr:row>559</xdr:row>
      <xdr:rowOff>76200</xdr:rowOff>
    </xdr:from>
    <xdr:to>
      <xdr:col>9</xdr:col>
      <xdr:colOff>66675</xdr:colOff>
      <xdr:row>578</xdr:row>
      <xdr:rowOff>123825</xdr:rowOff>
    </xdr:to>
    <xdr:graphicFrame macro="">
      <xdr:nvGraphicFramePr>
        <xdr:cNvPr id="1178"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0</xdr:col>
      <xdr:colOff>57150</xdr:colOff>
      <xdr:row>603</xdr:row>
      <xdr:rowOff>66675</xdr:rowOff>
    </xdr:from>
    <xdr:to>
      <xdr:col>8</xdr:col>
      <xdr:colOff>581025</xdr:colOff>
      <xdr:row>621</xdr:row>
      <xdr:rowOff>114301</xdr:rowOff>
    </xdr:to>
    <xdr:graphicFrame macro="">
      <xdr:nvGraphicFramePr>
        <xdr:cNvPr id="1180"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66675</xdr:colOff>
      <xdr:row>672</xdr:row>
      <xdr:rowOff>57150</xdr:rowOff>
    </xdr:from>
    <xdr:to>
      <xdr:col>8</xdr:col>
      <xdr:colOff>571500</xdr:colOff>
      <xdr:row>688</xdr:row>
      <xdr:rowOff>123825</xdr:rowOff>
    </xdr:to>
    <xdr:graphicFrame macro="">
      <xdr:nvGraphicFramePr>
        <xdr:cNvPr id="1183"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0</xdr:col>
      <xdr:colOff>38100</xdr:colOff>
      <xdr:row>441</xdr:row>
      <xdr:rowOff>57150</xdr:rowOff>
    </xdr:from>
    <xdr:to>
      <xdr:col>8</xdr:col>
      <xdr:colOff>542925</xdr:colOff>
      <xdr:row>458</xdr:row>
      <xdr:rowOff>95251</xdr:rowOff>
    </xdr:to>
    <xdr:graphicFrame macro="">
      <xdr:nvGraphicFramePr>
        <xdr:cNvPr id="1195"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47625</xdr:colOff>
      <xdr:row>626</xdr:row>
      <xdr:rowOff>28575</xdr:rowOff>
    </xdr:from>
    <xdr:to>
      <xdr:col>8</xdr:col>
      <xdr:colOff>590550</xdr:colOff>
      <xdr:row>643</xdr:row>
      <xdr:rowOff>104775</xdr:rowOff>
    </xdr:to>
    <xdr:graphicFrame macro="">
      <xdr:nvGraphicFramePr>
        <xdr:cNvPr id="1210"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0</xdr:col>
      <xdr:colOff>38100</xdr:colOff>
      <xdr:row>649</xdr:row>
      <xdr:rowOff>38100</xdr:rowOff>
    </xdr:from>
    <xdr:to>
      <xdr:col>8</xdr:col>
      <xdr:colOff>561975</xdr:colOff>
      <xdr:row>667</xdr:row>
      <xdr:rowOff>133350</xdr:rowOff>
    </xdr:to>
    <xdr:graphicFrame macro="">
      <xdr:nvGraphicFramePr>
        <xdr:cNvPr id="1211"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0</xdr:col>
      <xdr:colOff>47625</xdr:colOff>
      <xdr:row>259</xdr:row>
      <xdr:rowOff>38100</xdr:rowOff>
    </xdr:from>
    <xdr:to>
      <xdr:col>8</xdr:col>
      <xdr:colOff>552450</xdr:colOff>
      <xdr:row>274</xdr:row>
      <xdr:rowOff>114300</xdr:rowOff>
    </xdr:to>
    <xdr:graphicFrame macro="">
      <xdr:nvGraphicFramePr>
        <xdr:cNvPr id="1253"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38100</xdr:colOff>
      <xdr:row>364</xdr:row>
      <xdr:rowOff>38100</xdr:rowOff>
    </xdr:from>
    <xdr:to>
      <xdr:col>8</xdr:col>
      <xdr:colOff>561975</xdr:colOff>
      <xdr:row>388</xdr:row>
      <xdr:rowOff>104775</xdr:rowOff>
    </xdr:to>
    <xdr:graphicFrame macro="">
      <xdr:nvGraphicFramePr>
        <xdr:cNvPr id="1318"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0</xdr:col>
      <xdr:colOff>38100</xdr:colOff>
      <xdr:row>283</xdr:row>
      <xdr:rowOff>47625</xdr:rowOff>
    </xdr:from>
    <xdr:to>
      <xdr:col>8</xdr:col>
      <xdr:colOff>552450</xdr:colOff>
      <xdr:row>301</xdr:row>
      <xdr:rowOff>142874</xdr:rowOff>
    </xdr:to>
    <xdr:graphicFrame macro="">
      <xdr:nvGraphicFramePr>
        <xdr:cNvPr id="1319" name="Chart 2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219075</xdr:colOff>
      <xdr:row>446</xdr:row>
      <xdr:rowOff>19050</xdr:rowOff>
    </xdr:from>
    <xdr:to>
      <xdr:col>3</xdr:col>
      <xdr:colOff>219075</xdr:colOff>
      <xdr:row>456</xdr:row>
      <xdr:rowOff>152400</xdr:rowOff>
    </xdr:to>
    <xdr:sp macro="" textlink="">
      <xdr:nvSpPr>
        <xdr:cNvPr id="1324" name="Line 300"/>
        <xdr:cNvSpPr>
          <a:spLocks noChangeShapeType="1"/>
        </xdr:cNvSpPr>
      </xdr:nvSpPr>
      <xdr:spPr bwMode="auto">
        <a:xfrm flipV="1">
          <a:off x="2295525" y="83058000"/>
          <a:ext cx="0" cy="17526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609600</xdr:colOff>
      <xdr:row>446</xdr:row>
      <xdr:rowOff>38100</xdr:rowOff>
    </xdr:from>
    <xdr:to>
      <xdr:col>5</xdr:col>
      <xdr:colOff>609600</xdr:colOff>
      <xdr:row>456</xdr:row>
      <xdr:rowOff>171450</xdr:rowOff>
    </xdr:to>
    <xdr:sp macro="" textlink="">
      <xdr:nvSpPr>
        <xdr:cNvPr id="1326" name="Line 302"/>
        <xdr:cNvSpPr>
          <a:spLocks noChangeShapeType="1"/>
        </xdr:cNvSpPr>
      </xdr:nvSpPr>
      <xdr:spPr bwMode="auto">
        <a:xfrm flipV="1">
          <a:off x="3962400" y="83077050"/>
          <a:ext cx="0" cy="17526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114300</xdr:rowOff>
    </xdr:from>
    <xdr:to>
      <xdr:col>3</xdr:col>
      <xdr:colOff>485775</xdr:colOff>
      <xdr:row>2</xdr:row>
      <xdr:rowOff>152400</xdr:rowOff>
    </xdr:to>
    <xdr:pic>
      <xdr:nvPicPr>
        <xdr:cNvPr id="2048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14300"/>
          <a:ext cx="2466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115</xdr:row>
      <xdr:rowOff>47625</xdr:rowOff>
    </xdr:from>
    <xdr:to>
      <xdr:col>7</xdr:col>
      <xdr:colOff>590550</xdr:colOff>
      <xdr:row>129</xdr:row>
      <xdr:rowOff>123825</xdr:rowOff>
    </xdr:to>
    <xdr:graphicFrame macro="">
      <xdr:nvGraphicFramePr>
        <xdr:cNvPr id="204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407</xdr:row>
      <xdr:rowOff>47625</xdr:rowOff>
    </xdr:from>
    <xdr:to>
      <xdr:col>7</xdr:col>
      <xdr:colOff>581025</xdr:colOff>
      <xdr:row>423</xdr:row>
      <xdr:rowOff>114300</xdr:rowOff>
    </xdr:to>
    <xdr:graphicFrame macro="">
      <xdr:nvGraphicFramePr>
        <xdr:cNvPr id="204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38100</xdr:colOff>
      <xdr:row>726</xdr:row>
      <xdr:rowOff>38100</xdr:rowOff>
    </xdr:from>
    <xdr:to>
      <xdr:col>7</xdr:col>
      <xdr:colOff>609600</xdr:colOff>
      <xdr:row>742</xdr:row>
      <xdr:rowOff>133350</xdr:rowOff>
    </xdr:to>
    <xdr:graphicFrame macro="">
      <xdr:nvGraphicFramePr>
        <xdr:cNvPr id="204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28575</xdr:colOff>
      <xdr:row>68</xdr:row>
      <xdr:rowOff>47625</xdr:rowOff>
    </xdr:from>
    <xdr:to>
      <xdr:col>7</xdr:col>
      <xdr:colOff>571500</xdr:colOff>
      <xdr:row>84</xdr:row>
      <xdr:rowOff>114300</xdr:rowOff>
    </xdr:to>
    <xdr:graphicFrame macro="">
      <xdr:nvGraphicFramePr>
        <xdr:cNvPr id="204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38100</xdr:colOff>
      <xdr:row>89</xdr:row>
      <xdr:rowOff>57150</xdr:rowOff>
    </xdr:from>
    <xdr:to>
      <xdr:col>7</xdr:col>
      <xdr:colOff>571500</xdr:colOff>
      <xdr:row>107</xdr:row>
      <xdr:rowOff>95250</xdr:rowOff>
    </xdr:to>
    <xdr:graphicFrame macro="">
      <xdr:nvGraphicFramePr>
        <xdr:cNvPr id="2048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47625</xdr:colOff>
      <xdr:row>160</xdr:row>
      <xdr:rowOff>76200</xdr:rowOff>
    </xdr:from>
    <xdr:to>
      <xdr:col>7</xdr:col>
      <xdr:colOff>590550</xdr:colOff>
      <xdr:row>178</xdr:row>
      <xdr:rowOff>114300</xdr:rowOff>
    </xdr:to>
    <xdr:graphicFrame macro="">
      <xdr:nvGraphicFramePr>
        <xdr:cNvPr id="2048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47625</xdr:colOff>
      <xdr:row>456</xdr:row>
      <xdr:rowOff>28575</xdr:rowOff>
    </xdr:from>
    <xdr:to>
      <xdr:col>7</xdr:col>
      <xdr:colOff>590550</xdr:colOff>
      <xdr:row>475</xdr:row>
      <xdr:rowOff>104775</xdr:rowOff>
    </xdr:to>
    <xdr:graphicFrame macro="">
      <xdr:nvGraphicFramePr>
        <xdr:cNvPr id="2048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775</xdr:row>
      <xdr:rowOff>0</xdr:rowOff>
    </xdr:from>
    <xdr:to>
      <xdr:col>7</xdr:col>
      <xdr:colOff>552450</xdr:colOff>
      <xdr:row>793</xdr:row>
      <xdr:rowOff>85725</xdr:rowOff>
    </xdr:to>
    <xdr:graphicFrame macro="">
      <xdr:nvGraphicFramePr>
        <xdr:cNvPr id="2049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47625</xdr:colOff>
      <xdr:row>137</xdr:row>
      <xdr:rowOff>38100</xdr:rowOff>
    </xdr:from>
    <xdr:to>
      <xdr:col>7</xdr:col>
      <xdr:colOff>600075</xdr:colOff>
      <xdr:row>154</xdr:row>
      <xdr:rowOff>114300</xdr:rowOff>
    </xdr:to>
    <xdr:graphicFrame macro="">
      <xdr:nvGraphicFramePr>
        <xdr:cNvPr id="2049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57150</xdr:colOff>
      <xdr:row>431</xdr:row>
      <xdr:rowOff>47625</xdr:rowOff>
    </xdr:from>
    <xdr:to>
      <xdr:col>7</xdr:col>
      <xdr:colOff>590550</xdr:colOff>
      <xdr:row>449</xdr:row>
      <xdr:rowOff>114300</xdr:rowOff>
    </xdr:to>
    <xdr:graphicFrame macro="">
      <xdr:nvGraphicFramePr>
        <xdr:cNvPr id="2049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47625</xdr:colOff>
      <xdr:row>748</xdr:row>
      <xdr:rowOff>47625</xdr:rowOff>
    </xdr:from>
    <xdr:to>
      <xdr:col>7</xdr:col>
      <xdr:colOff>581025</xdr:colOff>
      <xdr:row>764</xdr:row>
      <xdr:rowOff>104775</xdr:rowOff>
    </xdr:to>
    <xdr:graphicFrame macro="">
      <xdr:nvGraphicFramePr>
        <xdr:cNvPr id="2049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66675</xdr:colOff>
      <xdr:row>185</xdr:row>
      <xdr:rowOff>47625</xdr:rowOff>
    </xdr:from>
    <xdr:to>
      <xdr:col>7</xdr:col>
      <xdr:colOff>609600</xdr:colOff>
      <xdr:row>200</xdr:row>
      <xdr:rowOff>66675</xdr:rowOff>
    </xdr:to>
    <xdr:graphicFrame macro="">
      <xdr:nvGraphicFramePr>
        <xdr:cNvPr id="20494"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85725</xdr:colOff>
      <xdr:row>253</xdr:row>
      <xdr:rowOff>19050</xdr:rowOff>
    </xdr:from>
    <xdr:to>
      <xdr:col>7</xdr:col>
      <xdr:colOff>571500</xdr:colOff>
      <xdr:row>270</xdr:row>
      <xdr:rowOff>104775</xdr:rowOff>
    </xdr:to>
    <xdr:graphicFrame macro="">
      <xdr:nvGraphicFramePr>
        <xdr:cNvPr id="2049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28575</xdr:colOff>
      <xdr:row>274</xdr:row>
      <xdr:rowOff>38100</xdr:rowOff>
    </xdr:from>
    <xdr:to>
      <xdr:col>7</xdr:col>
      <xdr:colOff>628650</xdr:colOff>
      <xdr:row>301</xdr:row>
      <xdr:rowOff>114300</xdr:rowOff>
    </xdr:to>
    <xdr:graphicFrame macro="">
      <xdr:nvGraphicFramePr>
        <xdr:cNvPr id="2049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57150</xdr:colOff>
      <xdr:row>529</xdr:row>
      <xdr:rowOff>38100</xdr:rowOff>
    </xdr:from>
    <xdr:to>
      <xdr:col>7</xdr:col>
      <xdr:colOff>600075</xdr:colOff>
      <xdr:row>543</xdr:row>
      <xdr:rowOff>104775</xdr:rowOff>
    </xdr:to>
    <xdr:graphicFrame macro="">
      <xdr:nvGraphicFramePr>
        <xdr:cNvPr id="2049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76200</xdr:colOff>
      <xdr:row>643</xdr:row>
      <xdr:rowOff>76200</xdr:rowOff>
    </xdr:from>
    <xdr:to>
      <xdr:col>7</xdr:col>
      <xdr:colOff>590550</xdr:colOff>
      <xdr:row>661</xdr:row>
      <xdr:rowOff>123825</xdr:rowOff>
    </xdr:to>
    <xdr:graphicFrame macro="">
      <xdr:nvGraphicFramePr>
        <xdr:cNvPr id="2049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28575</xdr:colOff>
      <xdr:row>696</xdr:row>
      <xdr:rowOff>66675</xdr:rowOff>
    </xdr:from>
    <xdr:to>
      <xdr:col>7</xdr:col>
      <xdr:colOff>609600</xdr:colOff>
      <xdr:row>717</xdr:row>
      <xdr:rowOff>123825</xdr:rowOff>
    </xdr:to>
    <xdr:graphicFrame macro="">
      <xdr:nvGraphicFramePr>
        <xdr:cNvPr id="2049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47625</xdr:colOff>
      <xdr:row>668</xdr:row>
      <xdr:rowOff>38100</xdr:rowOff>
    </xdr:from>
    <xdr:to>
      <xdr:col>7</xdr:col>
      <xdr:colOff>581025</xdr:colOff>
      <xdr:row>688</xdr:row>
      <xdr:rowOff>114300</xdr:rowOff>
    </xdr:to>
    <xdr:graphicFrame macro="">
      <xdr:nvGraphicFramePr>
        <xdr:cNvPr id="2050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47625</xdr:colOff>
      <xdr:row>801</xdr:row>
      <xdr:rowOff>38100</xdr:rowOff>
    </xdr:from>
    <xdr:to>
      <xdr:col>7</xdr:col>
      <xdr:colOff>571500</xdr:colOff>
      <xdr:row>816</xdr:row>
      <xdr:rowOff>95250</xdr:rowOff>
    </xdr:to>
    <xdr:graphicFrame macro="">
      <xdr:nvGraphicFramePr>
        <xdr:cNvPr id="2050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38100</xdr:colOff>
      <xdr:row>823</xdr:row>
      <xdr:rowOff>47625</xdr:rowOff>
    </xdr:from>
    <xdr:to>
      <xdr:col>7</xdr:col>
      <xdr:colOff>581025</xdr:colOff>
      <xdr:row>841</xdr:row>
      <xdr:rowOff>85725</xdr:rowOff>
    </xdr:to>
    <xdr:graphicFrame macro="">
      <xdr:nvGraphicFramePr>
        <xdr:cNvPr id="2050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0</xdr:col>
      <xdr:colOff>38100</xdr:colOff>
      <xdr:row>848</xdr:row>
      <xdr:rowOff>19050</xdr:rowOff>
    </xdr:from>
    <xdr:to>
      <xdr:col>7</xdr:col>
      <xdr:colOff>609600</xdr:colOff>
      <xdr:row>866</xdr:row>
      <xdr:rowOff>133350</xdr:rowOff>
    </xdr:to>
    <xdr:graphicFrame macro="">
      <xdr:nvGraphicFramePr>
        <xdr:cNvPr id="2050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0</xdr:col>
      <xdr:colOff>47625</xdr:colOff>
      <xdr:row>875</xdr:row>
      <xdr:rowOff>28575</xdr:rowOff>
    </xdr:from>
    <xdr:to>
      <xdr:col>7</xdr:col>
      <xdr:colOff>342900</xdr:colOff>
      <xdr:row>890</xdr:row>
      <xdr:rowOff>152400</xdr:rowOff>
    </xdr:to>
    <xdr:graphicFrame macro="">
      <xdr:nvGraphicFramePr>
        <xdr:cNvPr id="2050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76200</xdr:colOff>
      <xdr:row>897</xdr:row>
      <xdr:rowOff>66675</xdr:rowOff>
    </xdr:from>
    <xdr:to>
      <xdr:col>7</xdr:col>
      <xdr:colOff>409575</xdr:colOff>
      <xdr:row>915</xdr:row>
      <xdr:rowOff>95250</xdr:rowOff>
    </xdr:to>
    <xdr:graphicFrame macro="">
      <xdr:nvGraphicFramePr>
        <xdr:cNvPr id="20505"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85725</xdr:colOff>
      <xdr:row>922</xdr:row>
      <xdr:rowOff>57150</xdr:rowOff>
    </xdr:from>
    <xdr:to>
      <xdr:col>7</xdr:col>
      <xdr:colOff>571500</xdr:colOff>
      <xdr:row>942</xdr:row>
      <xdr:rowOff>85725</xdr:rowOff>
    </xdr:to>
    <xdr:graphicFrame macro="">
      <xdr:nvGraphicFramePr>
        <xdr:cNvPr id="20506"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0</xdr:col>
      <xdr:colOff>28575</xdr:colOff>
      <xdr:row>481</xdr:row>
      <xdr:rowOff>28575</xdr:rowOff>
    </xdr:from>
    <xdr:to>
      <xdr:col>7</xdr:col>
      <xdr:colOff>600075</xdr:colOff>
      <xdr:row>498</xdr:row>
      <xdr:rowOff>114300</xdr:rowOff>
    </xdr:to>
    <xdr:graphicFrame macro="">
      <xdr:nvGraphicFramePr>
        <xdr:cNvPr id="20508"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0</xdr:col>
      <xdr:colOff>28575</xdr:colOff>
      <xdr:row>505</xdr:row>
      <xdr:rowOff>76200</xdr:rowOff>
    </xdr:from>
    <xdr:to>
      <xdr:col>7</xdr:col>
      <xdr:colOff>561975</xdr:colOff>
      <xdr:row>524</xdr:row>
      <xdr:rowOff>123825</xdr:rowOff>
    </xdr:to>
    <xdr:graphicFrame macro="">
      <xdr:nvGraphicFramePr>
        <xdr:cNvPr id="2050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57150</xdr:colOff>
      <xdr:row>550</xdr:row>
      <xdr:rowOff>66675</xdr:rowOff>
    </xdr:from>
    <xdr:to>
      <xdr:col>7</xdr:col>
      <xdr:colOff>561975</xdr:colOff>
      <xdr:row>568</xdr:row>
      <xdr:rowOff>114300</xdr:rowOff>
    </xdr:to>
    <xdr:graphicFrame macro="">
      <xdr:nvGraphicFramePr>
        <xdr:cNvPr id="20510"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66675</xdr:colOff>
      <xdr:row>620</xdr:row>
      <xdr:rowOff>57150</xdr:rowOff>
    </xdr:from>
    <xdr:to>
      <xdr:col>7</xdr:col>
      <xdr:colOff>590550</xdr:colOff>
      <xdr:row>636</xdr:row>
      <xdr:rowOff>114300</xdr:rowOff>
    </xdr:to>
    <xdr:graphicFrame macro="">
      <xdr:nvGraphicFramePr>
        <xdr:cNvPr id="20511"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0</xdr:col>
      <xdr:colOff>38100</xdr:colOff>
      <xdr:row>387</xdr:row>
      <xdr:rowOff>57150</xdr:rowOff>
    </xdr:from>
    <xdr:to>
      <xdr:col>7</xdr:col>
      <xdr:colOff>552450</xdr:colOff>
      <xdr:row>404</xdr:row>
      <xdr:rowOff>114300</xdr:rowOff>
    </xdr:to>
    <xdr:graphicFrame macro="">
      <xdr:nvGraphicFramePr>
        <xdr:cNvPr id="2051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47625</xdr:colOff>
      <xdr:row>573</xdr:row>
      <xdr:rowOff>28575</xdr:rowOff>
    </xdr:from>
    <xdr:to>
      <xdr:col>7</xdr:col>
      <xdr:colOff>600075</xdr:colOff>
      <xdr:row>590</xdr:row>
      <xdr:rowOff>114300</xdr:rowOff>
    </xdr:to>
    <xdr:graphicFrame macro="">
      <xdr:nvGraphicFramePr>
        <xdr:cNvPr id="20513"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0</xdr:col>
      <xdr:colOff>38100</xdr:colOff>
      <xdr:row>597</xdr:row>
      <xdr:rowOff>38100</xdr:rowOff>
    </xdr:from>
    <xdr:to>
      <xdr:col>7</xdr:col>
      <xdr:colOff>590550</xdr:colOff>
      <xdr:row>615</xdr:row>
      <xdr:rowOff>133350</xdr:rowOff>
    </xdr:to>
    <xdr:graphicFrame macro="">
      <xdr:nvGraphicFramePr>
        <xdr:cNvPr id="20514"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0</xdr:col>
      <xdr:colOff>123825</xdr:colOff>
      <xdr:row>207</xdr:row>
      <xdr:rowOff>76200</xdr:rowOff>
    </xdr:from>
    <xdr:to>
      <xdr:col>7</xdr:col>
      <xdr:colOff>619125</xdr:colOff>
      <xdr:row>222</xdr:row>
      <xdr:rowOff>152400</xdr:rowOff>
    </xdr:to>
    <xdr:graphicFrame macro="">
      <xdr:nvGraphicFramePr>
        <xdr:cNvPr id="20515"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0</xdr:col>
      <xdr:colOff>38100</xdr:colOff>
      <xdr:row>310</xdr:row>
      <xdr:rowOff>38100</xdr:rowOff>
    </xdr:from>
    <xdr:to>
      <xdr:col>7</xdr:col>
      <xdr:colOff>619125</xdr:colOff>
      <xdr:row>334</xdr:row>
      <xdr:rowOff>104775</xdr:rowOff>
    </xdr:to>
    <xdr:graphicFrame macro="">
      <xdr:nvGraphicFramePr>
        <xdr:cNvPr id="20516"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0</xdr:col>
      <xdr:colOff>38100</xdr:colOff>
      <xdr:row>230</xdr:row>
      <xdr:rowOff>47625</xdr:rowOff>
    </xdr:from>
    <xdr:to>
      <xdr:col>7</xdr:col>
      <xdr:colOff>590550</xdr:colOff>
      <xdr:row>248</xdr:row>
      <xdr:rowOff>142875</xdr:rowOff>
    </xdr:to>
    <xdr:graphicFrame macro="">
      <xdr:nvGraphicFramePr>
        <xdr:cNvPr id="20517"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9525</xdr:colOff>
      <xdr:row>392</xdr:row>
      <xdr:rowOff>19050</xdr:rowOff>
    </xdr:from>
    <xdr:to>
      <xdr:col>3</xdr:col>
      <xdr:colOff>9525</xdr:colOff>
      <xdr:row>402</xdr:row>
      <xdr:rowOff>152400</xdr:rowOff>
    </xdr:to>
    <xdr:sp macro="" textlink="">
      <xdr:nvSpPr>
        <xdr:cNvPr id="20518" name="Line 38"/>
        <xdr:cNvSpPr>
          <a:spLocks noChangeShapeType="1"/>
        </xdr:cNvSpPr>
      </xdr:nvSpPr>
      <xdr:spPr bwMode="auto">
        <a:xfrm flipV="1">
          <a:off x="2085975" y="72513825"/>
          <a:ext cx="0" cy="17526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392</xdr:row>
      <xdr:rowOff>19050</xdr:rowOff>
    </xdr:from>
    <xdr:to>
      <xdr:col>5</xdr:col>
      <xdr:colOff>190500</xdr:colOff>
      <xdr:row>402</xdr:row>
      <xdr:rowOff>152400</xdr:rowOff>
    </xdr:to>
    <xdr:sp macro="" textlink="">
      <xdr:nvSpPr>
        <xdr:cNvPr id="20519" name="Line 39"/>
        <xdr:cNvSpPr>
          <a:spLocks noChangeShapeType="1"/>
        </xdr:cNvSpPr>
      </xdr:nvSpPr>
      <xdr:spPr bwMode="auto">
        <a:xfrm flipV="1">
          <a:off x="3543300" y="72513825"/>
          <a:ext cx="0" cy="17526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523875</xdr:colOff>
      <xdr:row>5</xdr:row>
      <xdr:rowOff>152400</xdr:rowOff>
    </xdr:from>
    <xdr:to>
      <xdr:col>11</xdr:col>
      <xdr:colOff>314325</xdr:colOff>
      <xdr:row>23</xdr:row>
      <xdr:rowOff>76200</xdr:rowOff>
    </xdr:to>
    <xdr:graphicFrame macro="">
      <xdr:nvGraphicFramePr>
        <xdr:cNvPr id="245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1</xdr:row>
      <xdr:rowOff>28575</xdr:rowOff>
    </xdr:from>
    <xdr:to>
      <xdr:col>8</xdr:col>
      <xdr:colOff>381000</xdr:colOff>
      <xdr:row>19</xdr:row>
      <xdr:rowOff>76200</xdr:rowOff>
    </xdr:to>
    <xdr:graphicFrame macro="">
      <xdr:nvGraphicFramePr>
        <xdr:cNvPr id="235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304800</xdr:colOff>
      <xdr:row>18</xdr:row>
      <xdr:rowOff>47625</xdr:rowOff>
    </xdr:to>
    <xdr:graphicFrame macro="">
      <xdr:nvGraphicFramePr>
        <xdr:cNvPr id="225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gov.scot/Publications/2013/11/8713/downloads" TargetMode="External"/><Relationship Id="rId2" Type="http://schemas.openxmlformats.org/officeDocument/2006/relationships/hyperlink" Target="http://www.gov.scot/Publications/2014/04/2946" TargetMode="External"/><Relationship Id="rId1" Type="http://schemas.openxmlformats.org/officeDocument/2006/relationships/hyperlink" Target="http://www.scotland.gov.uk/Resource/0039/00396519.xls" TargetMode="External"/><Relationship Id="rId6" Type="http://schemas.openxmlformats.org/officeDocument/2006/relationships/printerSettings" Target="../printerSettings/printerSettings7.bin"/><Relationship Id="rId5" Type="http://schemas.openxmlformats.org/officeDocument/2006/relationships/hyperlink" Target="http://www.gov.scot/Topics/Statistics/Browse/Health/Data/HomeCare/HSCDHomecare" TargetMode="External"/><Relationship Id="rId4" Type="http://schemas.openxmlformats.org/officeDocument/2006/relationships/hyperlink" Target="http://www.gov.scot/Topics/Statistics/Browse/Health/Data/QuarterlySurvey/QTRKMI"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scotland.gov.uk/Topics/Statistics/Browse/Children/PubChildrenSocialWork"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gro-scotland.gov.uk/statistics/theme/population/estimates/mid-year/index.html"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gov.scot/Topics/Statistics/Browse/Local-Government-Finance/PubScottishLGFStat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hyperlink" Target="http://www.scotland.gov.uk/Topics/Statistics/Browse/Local-Government-Finance/PubScottishLGFStats"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cotland.gov.uk/Topics/Statistics/Browse/Local-Government-Finance/PubScottishLGFStat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scotland.gov.uk/Topics/Statistics/Browse/Local-Government-Finance/PubScottishLGFStat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gov.uk/government/collections/gdp-deflators-at-market-prices-and-money-gd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nrscotland.gov.uk/statistics-and-data/statistics/statistics-by-theme/population/population-projections/sub-national-population-projections/2012-based/list-of-tab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41"/>
  <sheetViews>
    <sheetView zoomScaleNormal="100" workbookViewId="0"/>
  </sheetViews>
  <sheetFormatPr defaultRowHeight="12.75"/>
  <cols>
    <col min="1" max="1" width="6.28515625" style="284" customWidth="1"/>
    <col min="2" max="2" width="74.42578125" style="284" customWidth="1"/>
    <col min="3" max="3" width="25.7109375" style="284" customWidth="1"/>
    <col min="4" max="4" width="30.140625" style="284" customWidth="1"/>
    <col min="5" max="5" width="23.28515625" style="284" customWidth="1"/>
    <col min="6" max="6" width="13.5703125" style="284" customWidth="1"/>
    <col min="7" max="7" width="12.28515625" style="284" customWidth="1"/>
    <col min="8" max="9" width="9.5703125" style="284" bestFit="1" customWidth="1"/>
    <col min="10" max="10" width="9.5703125" style="284" customWidth="1"/>
  </cols>
  <sheetData>
    <row r="1" spans="1:10">
      <c r="A1" s="390" t="s">
        <v>283</v>
      </c>
      <c r="B1" s="390" t="s">
        <v>284</v>
      </c>
      <c r="C1" s="390" t="s">
        <v>279</v>
      </c>
      <c r="D1" s="390" t="s">
        <v>280</v>
      </c>
      <c r="E1" s="390" t="s">
        <v>294</v>
      </c>
      <c r="F1" s="390" t="s">
        <v>281</v>
      </c>
      <c r="G1" s="390" t="s">
        <v>282</v>
      </c>
    </row>
    <row r="2" spans="1:10">
      <c r="A2" s="284">
        <v>1</v>
      </c>
      <c r="B2" s="284" t="s">
        <v>285</v>
      </c>
      <c r="C2" s="284" t="s">
        <v>322</v>
      </c>
      <c r="D2" s="284" t="s">
        <v>286</v>
      </c>
      <c r="E2" s="284" t="s">
        <v>286</v>
      </c>
      <c r="F2" s="438">
        <v>41964</v>
      </c>
      <c r="G2" s="438"/>
      <c r="I2" s="285"/>
      <c r="J2" s="285"/>
    </row>
    <row r="3" spans="1:10">
      <c r="A3" s="284">
        <v>2</v>
      </c>
      <c r="B3" s="284" t="s">
        <v>285</v>
      </c>
      <c r="C3" s="284" t="s">
        <v>322</v>
      </c>
      <c r="D3" s="284" t="s">
        <v>286</v>
      </c>
      <c r="E3" s="284" t="s">
        <v>286</v>
      </c>
      <c r="F3" s="438">
        <v>41964</v>
      </c>
      <c r="G3" s="438"/>
    </row>
    <row r="4" spans="1:10">
      <c r="A4" s="284">
        <v>3</v>
      </c>
      <c r="B4" s="284" t="s">
        <v>287</v>
      </c>
      <c r="C4" s="284" t="s">
        <v>322</v>
      </c>
      <c r="D4" s="284" t="s">
        <v>286</v>
      </c>
      <c r="E4" s="284" t="s">
        <v>286</v>
      </c>
      <c r="F4" s="438">
        <v>41964</v>
      </c>
      <c r="G4" s="438"/>
    </row>
    <row r="5" spans="1:10">
      <c r="A5" s="284">
        <v>4</v>
      </c>
      <c r="B5" s="284" t="s">
        <v>287</v>
      </c>
      <c r="C5" s="284" t="s">
        <v>322</v>
      </c>
      <c r="D5" s="284" t="s">
        <v>286</v>
      </c>
      <c r="E5" s="284" t="s">
        <v>286</v>
      </c>
      <c r="F5" s="438">
        <v>41964</v>
      </c>
      <c r="G5" s="438"/>
    </row>
    <row r="6" spans="1:10">
      <c r="A6" s="284">
        <v>5</v>
      </c>
      <c r="B6" s="284" t="s">
        <v>287</v>
      </c>
      <c r="C6" s="284" t="s">
        <v>322</v>
      </c>
      <c r="D6" s="284" t="s">
        <v>286</v>
      </c>
      <c r="E6" s="284" t="s">
        <v>286</v>
      </c>
      <c r="F6" s="438">
        <v>41964</v>
      </c>
      <c r="G6" s="438"/>
    </row>
    <row r="7" spans="1:10">
      <c r="A7" s="284">
        <v>6</v>
      </c>
      <c r="B7" s="284" t="s">
        <v>288</v>
      </c>
      <c r="C7" s="284" t="s">
        <v>322</v>
      </c>
      <c r="D7" s="284" t="s">
        <v>286</v>
      </c>
      <c r="E7" s="284" t="s">
        <v>286</v>
      </c>
      <c r="F7" s="438">
        <v>41964</v>
      </c>
      <c r="G7" s="438"/>
    </row>
    <row r="8" spans="1:10">
      <c r="A8" s="284">
        <v>7</v>
      </c>
      <c r="B8" s="284" t="s">
        <v>289</v>
      </c>
      <c r="C8" s="284" t="s">
        <v>322</v>
      </c>
      <c r="D8" s="284" t="s">
        <v>286</v>
      </c>
      <c r="E8" s="284" t="s">
        <v>286</v>
      </c>
      <c r="F8" s="438">
        <v>41964</v>
      </c>
      <c r="G8" s="438"/>
    </row>
    <row r="9" spans="1:10">
      <c r="A9" s="284">
        <v>8</v>
      </c>
      <c r="B9" s="284" t="s">
        <v>290</v>
      </c>
      <c r="C9" s="284" t="s">
        <v>322</v>
      </c>
      <c r="D9" s="284" t="s">
        <v>286</v>
      </c>
      <c r="E9" s="284" t="s">
        <v>286</v>
      </c>
      <c r="F9" s="438">
        <v>41964</v>
      </c>
      <c r="G9" s="438"/>
    </row>
    <row r="10" spans="1:10">
      <c r="A10" s="284">
        <v>9</v>
      </c>
      <c r="B10" s="284" t="s">
        <v>291</v>
      </c>
      <c r="C10" s="284" t="s">
        <v>322</v>
      </c>
      <c r="D10" s="284" t="s">
        <v>286</v>
      </c>
      <c r="E10" s="284" t="s">
        <v>286</v>
      </c>
      <c r="F10" s="438">
        <v>41964</v>
      </c>
      <c r="G10" s="438"/>
    </row>
    <row r="11" spans="1:10">
      <c r="A11" s="284">
        <v>10</v>
      </c>
      <c r="B11" s="284" t="s">
        <v>292</v>
      </c>
      <c r="C11" s="284" t="s">
        <v>322</v>
      </c>
      <c r="D11" s="284" t="s">
        <v>293</v>
      </c>
      <c r="E11" s="284" t="s">
        <v>295</v>
      </c>
      <c r="F11" s="438">
        <v>41963</v>
      </c>
      <c r="G11" s="438"/>
    </row>
    <row r="12" spans="1:10">
      <c r="A12" s="284">
        <v>11</v>
      </c>
      <c r="B12" s="284" t="s">
        <v>296</v>
      </c>
      <c r="C12" s="284" t="s">
        <v>322</v>
      </c>
      <c r="D12" s="284" t="s">
        <v>293</v>
      </c>
      <c r="E12" s="284" t="s">
        <v>295</v>
      </c>
      <c r="F12" s="438">
        <v>41963</v>
      </c>
      <c r="G12" s="438"/>
    </row>
    <row r="13" spans="1:10">
      <c r="A13" s="284">
        <v>12</v>
      </c>
      <c r="B13" s="284" t="s">
        <v>296</v>
      </c>
      <c r="C13" s="284" t="s">
        <v>322</v>
      </c>
      <c r="D13" s="284" t="s">
        <v>293</v>
      </c>
      <c r="E13" s="284" t="s">
        <v>295</v>
      </c>
      <c r="F13" s="438">
        <v>41963</v>
      </c>
      <c r="G13" s="438"/>
    </row>
    <row r="14" spans="1:10">
      <c r="A14" s="284">
        <v>13</v>
      </c>
      <c r="B14" s="284" t="s">
        <v>297</v>
      </c>
      <c r="C14" s="284" t="s">
        <v>300</v>
      </c>
      <c r="D14" s="284" t="s">
        <v>293</v>
      </c>
      <c r="E14" s="284" t="s">
        <v>295</v>
      </c>
      <c r="F14" s="438">
        <v>41963</v>
      </c>
      <c r="G14" s="438"/>
    </row>
    <row r="15" spans="1:10">
      <c r="A15" s="284">
        <v>14</v>
      </c>
      <c r="B15" s="284" t="s">
        <v>292</v>
      </c>
      <c r="C15" s="284" t="s">
        <v>300</v>
      </c>
      <c r="D15" s="284" t="s">
        <v>293</v>
      </c>
      <c r="E15" s="284" t="s">
        <v>295</v>
      </c>
      <c r="F15" s="438">
        <v>41968</v>
      </c>
      <c r="G15" s="438"/>
    </row>
    <row r="16" spans="1:10">
      <c r="A16" s="284">
        <v>15</v>
      </c>
      <c r="B16" s="284" t="s">
        <v>298</v>
      </c>
      <c r="C16" s="284" t="s">
        <v>300</v>
      </c>
      <c r="D16" s="284" t="s">
        <v>293</v>
      </c>
      <c r="E16" s="284" t="s">
        <v>295</v>
      </c>
      <c r="F16" s="438">
        <v>41968</v>
      </c>
      <c r="G16" s="438"/>
    </row>
    <row r="17" spans="1:7">
      <c r="A17" s="284">
        <v>16</v>
      </c>
      <c r="B17" s="284" t="s">
        <v>299</v>
      </c>
      <c r="C17" s="284" t="s">
        <v>300</v>
      </c>
      <c r="D17" s="284" t="s">
        <v>293</v>
      </c>
      <c r="E17" s="284" t="s">
        <v>295</v>
      </c>
      <c r="F17" s="438">
        <v>41968</v>
      </c>
      <c r="G17" s="438"/>
    </row>
    <row r="18" spans="1:7" ht="12.75" customHeight="1">
      <c r="A18" s="284">
        <v>17</v>
      </c>
      <c r="B18" s="284" t="s">
        <v>302</v>
      </c>
      <c r="C18" s="284" t="s">
        <v>324</v>
      </c>
      <c r="D18" s="284" t="s">
        <v>307</v>
      </c>
      <c r="F18" s="438">
        <v>41963</v>
      </c>
      <c r="G18" s="438"/>
    </row>
    <row r="19" spans="1:7">
      <c r="A19" s="284">
        <v>18</v>
      </c>
      <c r="B19" s="284" t="s">
        <v>303</v>
      </c>
      <c r="C19" s="284" t="s">
        <v>324</v>
      </c>
      <c r="D19" s="284" t="s">
        <v>307</v>
      </c>
      <c r="E19" s="284" t="s">
        <v>306</v>
      </c>
      <c r="F19" s="438">
        <v>41963</v>
      </c>
      <c r="G19" s="438"/>
    </row>
    <row r="20" spans="1:7">
      <c r="A20" s="284">
        <v>19</v>
      </c>
      <c r="B20" s="284" t="s">
        <v>304</v>
      </c>
      <c r="C20" s="284" t="s">
        <v>322</v>
      </c>
      <c r="D20" s="284" t="s">
        <v>286</v>
      </c>
      <c r="E20" s="284" t="s">
        <v>323</v>
      </c>
      <c r="F20" s="438">
        <v>41964</v>
      </c>
      <c r="G20" s="438"/>
    </row>
    <row r="21" spans="1:7">
      <c r="A21" s="284">
        <v>20</v>
      </c>
      <c r="B21" s="284" t="s">
        <v>305</v>
      </c>
      <c r="C21" s="284" t="s">
        <v>322</v>
      </c>
      <c r="D21" s="284" t="s">
        <v>286</v>
      </c>
      <c r="E21" s="284" t="s">
        <v>323</v>
      </c>
      <c r="F21" s="438">
        <v>41964</v>
      </c>
      <c r="G21" s="438"/>
    </row>
    <row r="22" spans="1:7">
      <c r="A22" s="284">
        <v>21</v>
      </c>
      <c r="B22" s="284" t="s">
        <v>330</v>
      </c>
      <c r="C22" s="284" t="s">
        <v>322</v>
      </c>
      <c r="D22" s="284" t="s">
        <v>286</v>
      </c>
      <c r="E22" s="284" t="s">
        <v>323</v>
      </c>
      <c r="F22" s="438">
        <v>41964</v>
      </c>
      <c r="G22" s="438"/>
    </row>
    <row r="23" spans="1:7">
      <c r="A23" s="284">
        <v>22</v>
      </c>
      <c r="B23" s="284" t="s">
        <v>308</v>
      </c>
      <c r="C23" s="284" t="s">
        <v>322</v>
      </c>
      <c r="D23" s="284" t="s">
        <v>309</v>
      </c>
      <c r="E23" s="284" t="s">
        <v>301</v>
      </c>
      <c r="F23" s="438">
        <v>42009</v>
      </c>
      <c r="G23" s="438"/>
    </row>
    <row r="24" spans="1:7">
      <c r="A24" s="284">
        <v>23</v>
      </c>
      <c r="B24" s="284" t="s">
        <v>308</v>
      </c>
      <c r="C24" s="284" t="s">
        <v>322</v>
      </c>
      <c r="D24" s="284" t="s">
        <v>309</v>
      </c>
      <c r="E24" s="284" t="s">
        <v>301</v>
      </c>
      <c r="F24" s="438">
        <v>42009</v>
      </c>
      <c r="G24" s="438"/>
    </row>
    <row r="25" spans="1:7">
      <c r="A25" s="284">
        <v>24</v>
      </c>
      <c r="B25" s="284" t="s">
        <v>310</v>
      </c>
      <c r="C25" s="284" t="s">
        <v>322</v>
      </c>
      <c r="D25" s="284" t="s">
        <v>309</v>
      </c>
      <c r="E25" s="284" t="s">
        <v>301</v>
      </c>
      <c r="F25" s="438">
        <v>42009</v>
      </c>
      <c r="G25" s="438"/>
    </row>
    <row r="26" spans="1:7">
      <c r="A26" s="284">
        <v>25</v>
      </c>
      <c r="B26" s="284" t="s">
        <v>310</v>
      </c>
      <c r="C26" s="284" t="s">
        <v>322</v>
      </c>
      <c r="D26" s="284" t="s">
        <v>309</v>
      </c>
      <c r="E26" s="284" t="s">
        <v>301</v>
      </c>
      <c r="F26" s="438">
        <v>42009</v>
      </c>
      <c r="G26" s="438"/>
    </row>
    <row r="27" spans="1:7">
      <c r="A27" s="284">
        <v>26</v>
      </c>
      <c r="B27" s="284" t="s">
        <v>311</v>
      </c>
      <c r="C27" s="284" t="s">
        <v>322</v>
      </c>
      <c r="D27" s="284" t="s">
        <v>309</v>
      </c>
      <c r="E27" s="284" t="s">
        <v>301</v>
      </c>
      <c r="F27" s="438">
        <v>42009</v>
      </c>
      <c r="G27" s="438"/>
    </row>
    <row r="28" spans="1:7">
      <c r="A28" s="284">
        <v>27</v>
      </c>
      <c r="B28" s="284" t="s">
        <v>329</v>
      </c>
      <c r="C28" s="284" t="s">
        <v>322</v>
      </c>
      <c r="D28" s="284" t="s">
        <v>309</v>
      </c>
      <c r="E28" s="284" t="s">
        <v>301</v>
      </c>
      <c r="F28" s="438">
        <v>42009</v>
      </c>
      <c r="G28" s="438"/>
    </row>
    <row r="29" spans="1:7">
      <c r="A29" s="284">
        <v>28</v>
      </c>
      <c r="B29" s="284" t="s">
        <v>312</v>
      </c>
      <c r="C29" s="284" t="s">
        <v>322</v>
      </c>
      <c r="D29" s="284" t="s">
        <v>309</v>
      </c>
      <c r="E29" s="284" t="s">
        <v>301</v>
      </c>
      <c r="F29" s="438">
        <v>42009</v>
      </c>
      <c r="G29" s="438"/>
    </row>
    <row r="30" spans="1:7">
      <c r="A30" s="284">
        <v>29</v>
      </c>
      <c r="B30" s="284" t="s">
        <v>328</v>
      </c>
      <c r="C30" s="284" t="s">
        <v>322</v>
      </c>
      <c r="D30" s="284" t="s">
        <v>309</v>
      </c>
      <c r="E30" s="284" t="s">
        <v>301</v>
      </c>
      <c r="F30" s="438">
        <v>42009</v>
      </c>
      <c r="G30" s="438"/>
    </row>
    <row r="31" spans="1:7">
      <c r="A31" s="284">
        <v>30</v>
      </c>
      <c r="B31" s="284" t="s">
        <v>327</v>
      </c>
      <c r="C31" s="284" t="s">
        <v>322</v>
      </c>
      <c r="D31" s="284" t="s">
        <v>309</v>
      </c>
      <c r="E31" s="284" t="s">
        <v>301</v>
      </c>
      <c r="F31" s="438">
        <v>42009</v>
      </c>
      <c r="G31" s="438"/>
    </row>
    <row r="32" spans="1:7">
      <c r="A32" s="284">
        <v>31</v>
      </c>
      <c r="B32" s="284" t="s">
        <v>331</v>
      </c>
      <c r="C32" s="284" t="s">
        <v>322</v>
      </c>
      <c r="D32" s="284" t="s">
        <v>309</v>
      </c>
      <c r="E32" s="284" t="s">
        <v>301</v>
      </c>
      <c r="F32" s="438">
        <v>42009</v>
      </c>
      <c r="G32" s="438"/>
    </row>
    <row r="33" spans="1:7">
      <c r="A33" s="284">
        <v>32</v>
      </c>
      <c r="B33" s="284" t="s">
        <v>313</v>
      </c>
      <c r="C33" s="284" t="s">
        <v>322</v>
      </c>
      <c r="D33" s="284" t="s">
        <v>286</v>
      </c>
      <c r="E33" s="284" t="s">
        <v>286</v>
      </c>
      <c r="F33" s="438">
        <v>41964</v>
      </c>
      <c r="G33" s="438"/>
    </row>
    <row r="34" spans="1:7">
      <c r="A34" s="284">
        <v>33</v>
      </c>
      <c r="B34" s="284" t="s">
        <v>314</v>
      </c>
      <c r="C34" s="284" t="s">
        <v>322</v>
      </c>
      <c r="D34" s="284" t="s">
        <v>286</v>
      </c>
      <c r="E34" s="284" t="s">
        <v>323</v>
      </c>
      <c r="F34" s="438">
        <v>41964</v>
      </c>
      <c r="G34" s="438"/>
    </row>
    <row r="35" spans="1:7">
      <c r="A35" s="284">
        <v>34</v>
      </c>
      <c r="B35" s="284" t="s">
        <v>332</v>
      </c>
      <c r="C35" s="284" t="s">
        <v>322</v>
      </c>
      <c r="D35" s="284" t="s">
        <v>286</v>
      </c>
      <c r="E35" s="284" t="s">
        <v>323</v>
      </c>
      <c r="F35" s="438">
        <v>41964</v>
      </c>
      <c r="G35" s="438"/>
    </row>
    <row r="36" spans="1:7">
      <c r="A36" s="284">
        <v>35</v>
      </c>
      <c r="B36" s="284" t="s">
        <v>316</v>
      </c>
      <c r="C36" s="284" t="s">
        <v>322</v>
      </c>
      <c r="D36" s="284" t="s">
        <v>286</v>
      </c>
      <c r="E36" s="284" t="s">
        <v>286</v>
      </c>
      <c r="F36" s="438">
        <v>41964</v>
      </c>
      <c r="G36" s="438"/>
    </row>
    <row r="37" spans="1:7">
      <c r="A37" s="284">
        <v>36</v>
      </c>
      <c r="B37" s="284" t="s">
        <v>317</v>
      </c>
      <c r="C37" s="284" t="s">
        <v>322</v>
      </c>
      <c r="D37" s="284" t="s">
        <v>286</v>
      </c>
      <c r="E37" s="284" t="s">
        <v>323</v>
      </c>
      <c r="F37" s="438">
        <v>41964</v>
      </c>
      <c r="G37" s="438"/>
    </row>
    <row r="38" spans="1:7">
      <c r="A38" s="284">
        <v>37</v>
      </c>
      <c r="B38" s="284" t="s">
        <v>325</v>
      </c>
      <c r="C38" s="284" t="s">
        <v>322</v>
      </c>
      <c r="D38" s="284" t="s">
        <v>286</v>
      </c>
      <c r="E38" s="284" t="s">
        <v>323</v>
      </c>
      <c r="F38" s="438">
        <v>41964</v>
      </c>
      <c r="G38" s="438"/>
    </row>
    <row r="39" spans="1:7">
      <c r="A39" s="284">
        <v>38</v>
      </c>
      <c r="B39" s="284" t="s">
        <v>318</v>
      </c>
      <c r="C39" s="284" t="s">
        <v>322</v>
      </c>
      <c r="D39" s="284" t="s">
        <v>286</v>
      </c>
      <c r="E39" s="284" t="s">
        <v>286</v>
      </c>
      <c r="F39" s="438">
        <v>41964</v>
      </c>
      <c r="G39" s="438"/>
    </row>
    <row r="40" spans="1:7">
      <c r="A40" s="284">
        <v>39</v>
      </c>
      <c r="B40" s="284" t="s">
        <v>319</v>
      </c>
      <c r="C40" s="284" t="s">
        <v>322</v>
      </c>
      <c r="D40" s="284" t="s">
        <v>286</v>
      </c>
      <c r="E40" s="284" t="s">
        <v>323</v>
      </c>
      <c r="F40" s="438">
        <v>41964</v>
      </c>
      <c r="G40" s="438"/>
    </row>
    <row r="41" spans="1:7">
      <c r="A41" s="284">
        <v>40</v>
      </c>
      <c r="B41" s="284" t="s">
        <v>326</v>
      </c>
      <c r="C41" s="284" t="s">
        <v>322</v>
      </c>
      <c r="D41" s="284" t="s">
        <v>286</v>
      </c>
      <c r="E41" s="284" t="s">
        <v>323</v>
      </c>
      <c r="F41" s="438">
        <v>41964</v>
      </c>
      <c r="G41" s="438"/>
    </row>
  </sheetData>
  <pageMargins left="0.7" right="0.7" top="0.75" bottom="0.75" header="0.3" footer="0.3"/>
  <pageSetup paperSize="9" scale="5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pageSetUpPr fitToPage="1"/>
  </sheetPr>
  <dimension ref="A1:AG436"/>
  <sheetViews>
    <sheetView topLeftCell="A396" zoomScaleNormal="100" workbookViewId="0">
      <selection activeCell="F420" sqref="F420"/>
    </sheetView>
  </sheetViews>
  <sheetFormatPr defaultRowHeight="12.75"/>
  <cols>
    <col min="1" max="1" width="18.85546875" customWidth="1"/>
    <col min="7" max="8" width="9.5703125" bestFit="1" customWidth="1"/>
    <col min="28" max="28" width="17.7109375" bestFit="1" customWidth="1"/>
  </cols>
  <sheetData>
    <row r="1" spans="1:13">
      <c r="A1" s="88" t="s">
        <v>124</v>
      </c>
    </row>
    <row r="2" spans="1:13">
      <c r="A2" s="88"/>
    </row>
    <row r="3" spans="1:13" ht="15">
      <c r="A3" s="475" t="s">
        <v>155</v>
      </c>
      <c r="B3" s="476"/>
      <c r="C3" s="476"/>
      <c r="D3" s="476"/>
      <c r="E3" s="476"/>
      <c r="F3" s="476"/>
      <c r="G3" s="476"/>
      <c r="H3" s="476"/>
      <c r="I3" s="476"/>
      <c r="J3" s="476"/>
      <c r="K3" s="476"/>
      <c r="L3" s="476"/>
      <c r="M3" s="476"/>
    </row>
    <row r="4" spans="1:13" ht="15">
      <c r="A4" s="475" t="s">
        <v>156</v>
      </c>
      <c r="B4" s="476"/>
      <c r="C4" s="476"/>
      <c r="D4" s="476"/>
      <c r="E4" s="476"/>
      <c r="F4" s="476"/>
      <c r="G4" s="476"/>
      <c r="H4" s="476"/>
      <c r="I4" s="476"/>
      <c r="J4" s="476"/>
      <c r="K4" s="476"/>
      <c r="L4" s="476"/>
      <c r="M4" s="476"/>
    </row>
    <row r="5" spans="1:13" ht="15">
      <c r="A5" s="475" t="s">
        <v>120</v>
      </c>
      <c r="B5" s="476"/>
      <c r="C5" s="476"/>
      <c r="D5" s="476"/>
      <c r="E5" s="476"/>
      <c r="F5" s="476"/>
      <c r="G5" s="476"/>
      <c r="H5" s="476"/>
      <c r="I5" s="476"/>
      <c r="J5" s="13"/>
      <c r="K5" s="13"/>
      <c r="L5" s="13"/>
      <c r="M5" s="13"/>
    </row>
    <row r="6" spans="1:13" ht="15">
      <c r="A6" s="475" t="s">
        <v>157</v>
      </c>
      <c r="B6" s="476"/>
      <c r="C6" s="476"/>
      <c r="D6" s="476"/>
      <c r="E6" s="476"/>
      <c r="F6" s="476"/>
      <c r="G6" s="476"/>
      <c r="H6" s="476"/>
      <c r="I6" s="476"/>
      <c r="J6" s="13"/>
      <c r="K6" s="13"/>
      <c r="L6" s="13"/>
      <c r="M6" s="13"/>
    </row>
    <row r="7" spans="1:13" ht="15">
      <c r="A7" s="475" t="s">
        <v>164</v>
      </c>
      <c r="B7" s="476"/>
      <c r="C7" s="476"/>
      <c r="D7" s="476"/>
      <c r="E7" s="476"/>
      <c r="F7" s="476"/>
      <c r="G7" s="476"/>
      <c r="H7" s="476"/>
      <c r="I7" s="476"/>
      <c r="J7" s="13"/>
      <c r="K7" s="13"/>
      <c r="L7" s="13"/>
      <c r="M7" s="13"/>
    </row>
    <row r="8" spans="1:13" ht="15">
      <c r="A8" s="475" t="s">
        <v>165</v>
      </c>
      <c r="B8" s="476"/>
      <c r="C8" s="476"/>
      <c r="D8" s="476"/>
      <c r="E8" s="476"/>
      <c r="F8" s="476"/>
      <c r="G8" s="476"/>
      <c r="H8" s="476"/>
      <c r="I8" s="476"/>
      <c r="J8" s="13"/>
      <c r="K8" s="13"/>
      <c r="L8" s="13"/>
      <c r="M8" s="13"/>
    </row>
    <row r="9" spans="1:13" ht="15">
      <c r="A9" s="475" t="s">
        <v>158</v>
      </c>
      <c r="B9" s="476"/>
      <c r="C9" s="476"/>
      <c r="D9" s="476"/>
      <c r="E9" s="476"/>
      <c r="F9" s="476"/>
      <c r="G9" s="476"/>
      <c r="H9" s="476"/>
      <c r="I9" s="476"/>
      <c r="J9" s="13"/>
      <c r="K9" s="13"/>
      <c r="L9" s="13"/>
      <c r="M9" s="13"/>
    </row>
    <row r="10" spans="1:13" ht="15">
      <c r="A10" s="475" t="s">
        <v>121</v>
      </c>
      <c r="B10" s="476"/>
      <c r="C10" s="476"/>
      <c r="D10" s="476"/>
      <c r="E10" s="476"/>
      <c r="F10" s="476"/>
      <c r="G10" s="476"/>
      <c r="H10" s="476"/>
      <c r="I10" s="476"/>
      <c r="J10" s="13"/>
      <c r="K10" s="13"/>
      <c r="L10" s="13"/>
      <c r="M10" s="13"/>
    </row>
    <row r="11" spans="1:13" ht="15">
      <c r="A11" s="475" t="s">
        <v>123</v>
      </c>
      <c r="B11" s="476"/>
      <c r="C11" s="476"/>
      <c r="D11" s="476"/>
      <c r="E11" s="476"/>
      <c r="F11" s="476"/>
      <c r="G11" s="476"/>
      <c r="H11" s="476"/>
      <c r="I11" s="476"/>
      <c r="J11" s="476"/>
      <c r="K11" s="476"/>
      <c r="L11" s="13"/>
      <c r="M11" s="13"/>
    </row>
    <row r="12" spans="1:13">
      <c r="A12" s="16" t="s">
        <v>122</v>
      </c>
    </row>
    <row r="13" spans="1:13">
      <c r="A13" s="1"/>
    </row>
    <row r="14" spans="1:13" ht="12" customHeight="1"/>
    <row r="15" spans="1:13" ht="12" customHeight="1">
      <c r="A15" s="128" t="s">
        <v>155</v>
      </c>
    </row>
    <row r="16" spans="1:13" ht="12" customHeight="1"/>
    <row r="17" spans="1:22" ht="12" customHeight="1"/>
    <row r="18" spans="1:22" ht="12" customHeight="1">
      <c r="B18" s="748" t="s">
        <v>119</v>
      </c>
      <c r="C18" s="749"/>
      <c r="D18" s="749"/>
      <c r="E18" s="749"/>
      <c r="F18" s="749"/>
      <c r="G18" s="749"/>
      <c r="H18" s="749"/>
      <c r="I18" s="749"/>
      <c r="J18" s="749"/>
      <c r="K18" s="749"/>
      <c r="L18" s="752"/>
      <c r="M18" s="595"/>
      <c r="N18" s="593"/>
      <c r="O18" s="394"/>
      <c r="P18" s="394"/>
      <c r="Q18" s="394"/>
      <c r="R18" s="394"/>
      <c r="S18" s="394"/>
      <c r="T18" s="394"/>
      <c r="U18" s="394"/>
      <c r="V18" s="395"/>
    </row>
    <row r="19" spans="1:22" ht="12" customHeight="1">
      <c r="A19" s="94" t="s">
        <v>26</v>
      </c>
      <c r="B19" s="94" t="s">
        <v>159</v>
      </c>
      <c r="C19" s="94" t="s">
        <v>0</v>
      </c>
      <c r="D19" s="94" t="s">
        <v>1</v>
      </c>
      <c r="E19" s="94" t="s">
        <v>28</v>
      </c>
      <c r="F19" s="94" t="s">
        <v>65</v>
      </c>
      <c r="G19" s="94" t="s">
        <v>267</v>
      </c>
      <c r="H19" s="94" t="s">
        <v>315</v>
      </c>
      <c r="I19" s="94" t="s">
        <v>322</v>
      </c>
      <c r="J19" s="94" t="s">
        <v>369</v>
      </c>
      <c r="K19" s="94" t="s">
        <v>382</v>
      </c>
      <c r="M19" s="94" t="s">
        <v>159</v>
      </c>
      <c r="N19" s="94" t="s">
        <v>0</v>
      </c>
      <c r="O19" s="94" t="s">
        <v>1</v>
      </c>
      <c r="P19" s="94" t="s">
        <v>28</v>
      </c>
      <c r="Q19" s="94" t="s">
        <v>65</v>
      </c>
      <c r="R19" s="94" t="s">
        <v>267</v>
      </c>
      <c r="S19" s="94" t="s">
        <v>315</v>
      </c>
      <c r="T19" s="94" t="s">
        <v>322</v>
      </c>
      <c r="U19" s="94" t="s">
        <v>369</v>
      </c>
      <c r="V19" s="94" t="s">
        <v>382</v>
      </c>
    </row>
    <row r="20" spans="1:22" ht="12" customHeight="1">
      <c r="A20" s="91" t="s">
        <v>31</v>
      </c>
      <c r="B20" s="78">
        <v>1630</v>
      </c>
      <c r="C20" s="78">
        <v>1630</v>
      </c>
      <c r="D20" s="78">
        <v>1590</v>
      </c>
      <c r="E20" s="78">
        <v>1540</v>
      </c>
      <c r="F20" s="78">
        <v>1530</v>
      </c>
      <c r="G20" s="399">
        <v>1540</v>
      </c>
      <c r="H20" s="404">
        <v>1440</v>
      </c>
      <c r="I20" s="521">
        <v>1200</v>
      </c>
      <c r="J20" s="521">
        <v>1340</v>
      </c>
      <c r="K20" s="521">
        <v>1350</v>
      </c>
      <c r="M20" s="102">
        <f>J20/'Population Figures'!M5*1000</f>
        <v>41.506628670548878</v>
      </c>
      <c r="N20" s="93">
        <f>C20/'Population Figures'!M5*1000</f>
        <v>50.489406517160205</v>
      </c>
      <c r="O20" s="93">
        <f>D20/'Population Figures'!P5*1000</f>
        <v>49.271769445305239</v>
      </c>
      <c r="P20" s="93">
        <f>E20/'Population Figures'!S5*1000</f>
        <v>47.833514520888343</v>
      </c>
      <c r="Q20" s="93">
        <f>F20/'Population Figures'!V5*1000</f>
        <v>47.525859658932063</v>
      </c>
      <c r="R20" s="93">
        <f>G20/'Population Figures'!Y5*1000</f>
        <v>47.96760629185485</v>
      </c>
      <c r="S20" s="93">
        <f>H20/'Population Figures'!AB5*1000</f>
        <v>44.652547365809795</v>
      </c>
      <c r="T20" s="93">
        <f>I20/'Population Figures'!AE5*1000</f>
        <v>36.181631791593801</v>
      </c>
      <c r="U20" s="93">
        <f>J20/'Population Figures'!AH5*1000</f>
        <v>39.747278497908816</v>
      </c>
      <c r="V20" s="93">
        <f>K20/'Population Figures'!AK5*1000</f>
        <v>39.403403286535706</v>
      </c>
    </row>
    <row r="21" spans="1:22" ht="12" customHeight="1">
      <c r="A21" s="91" t="s">
        <v>32</v>
      </c>
      <c r="B21" s="78">
        <v>1450</v>
      </c>
      <c r="C21" s="78">
        <v>1390</v>
      </c>
      <c r="D21" s="78">
        <v>1360</v>
      </c>
      <c r="E21" s="78">
        <v>1380</v>
      </c>
      <c r="F21" s="78">
        <v>1360</v>
      </c>
      <c r="G21" s="399">
        <v>1350</v>
      </c>
      <c r="H21" s="404">
        <v>1350</v>
      </c>
      <c r="I21" s="521">
        <v>1370</v>
      </c>
      <c r="J21" s="521">
        <v>1410</v>
      </c>
      <c r="K21" s="521">
        <v>1410</v>
      </c>
      <c r="M21" s="102">
        <f>J21/'Population Figures'!M6*1000</f>
        <v>38.659793814432994</v>
      </c>
      <c r="N21" s="93">
        <f>C21/'Population Figures'!M6*1000</f>
        <v>38.111427944724717</v>
      </c>
      <c r="O21" s="93">
        <f>D21/'Population Figures'!P6*1000</f>
        <v>36.404518443171476</v>
      </c>
      <c r="P21" s="93">
        <f>E21/'Population Figures'!S6*1000</f>
        <v>36.057692307692307</v>
      </c>
      <c r="Q21" s="93">
        <f>F21/'Population Figures'!V6*1000</f>
        <v>34.699188651324178</v>
      </c>
      <c r="R21" s="93">
        <f>G21/'Population Figures'!Y6*1000</f>
        <v>33.731447703762925</v>
      </c>
      <c r="S21" s="93">
        <f>H21/'Population Figures'!AB6*1000</f>
        <v>32.821959106270214</v>
      </c>
      <c r="T21" s="93">
        <f>I21/'Population Figures'!AE6*1000</f>
        <v>31.917619924050047</v>
      </c>
      <c r="U21" s="93">
        <f>J21/'Population Figures'!AH6*1000</f>
        <v>31.771068048670575</v>
      </c>
      <c r="V21" s="93">
        <f>K21/'Population Figures'!AK6*1000</f>
        <v>30.794094522582338</v>
      </c>
    </row>
    <row r="22" spans="1:22" ht="12" customHeight="1">
      <c r="A22" s="91" t="s">
        <v>33</v>
      </c>
      <c r="B22" s="78">
        <v>710</v>
      </c>
      <c r="C22" s="78">
        <v>720</v>
      </c>
      <c r="D22" s="78">
        <v>680</v>
      </c>
      <c r="E22" s="78">
        <v>620</v>
      </c>
      <c r="F22" s="78">
        <v>780</v>
      </c>
      <c r="G22" s="399">
        <v>840</v>
      </c>
      <c r="H22" s="404">
        <v>810</v>
      </c>
      <c r="I22" s="521">
        <v>740</v>
      </c>
      <c r="J22" s="521">
        <v>730</v>
      </c>
      <c r="K22" s="521">
        <v>710</v>
      </c>
      <c r="M22" s="102">
        <f>J22/'Population Figures'!M7*1000</f>
        <v>35.18580999662602</v>
      </c>
      <c r="N22" s="93">
        <f>C22/'Population Figures'!M7*1000</f>
        <v>34.703812599411968</v>
      </c>
      <c r="O22" s="93">
        <f>D22/'Population Figures'!P7*1000</f>
        <v>32.270311313591499</v>
      </c>
      <c r="P22" s="93">
        <f>E22/'Population Figures'!S7*1000</f>
        <v>28.783658310120707</v>
      </c>
      <c r="Q22" s="93">
        <f>F22/'Population Figures'!V7*1000</f>
        <v>35.535307517084277</v>
      </c>
      <c r="R22" s="93">
        <f>G22/'Population Figures'!Y7*1000</f>
        <v>37.678299093926611</v>
      </c>
      <c r="S22" s="93">
        <f>H22/'Population Figures'!AB7*1000</f>
        <v>34.864201781948097</v>
      </c>
      <c r="T22" s="93">
        <f>I22/'Population Figures'!AE7*1000</f>
        <v>30.535611124865891</v>
      </c>
      <c r="U22" s="93">
        <f>J22/'Population Figures'!AH7*1000</f>
        <v>29.246794871794872</v>
      </c>
      <c r="V22" s="93">
        <f>K22/'Population Figures'!AK7*1000</f>
        <v>27.698669683610969</v>
      </c>
    </row>
    <row r="23" spans="1:22" ht="12" customHeight="1">
      <c r="A23" s="91" t="s">
        <v>34</v>
      </c>
      <c r="B23" s="78">
        <v>720</v>
      </c>
      <c r="C23" s="78">
        <v>720</v>
      </c>
      <c r="D23" s="78">
        <v>790</v>
      </c>
      <c r="E23" s="78">
        <v>770</v>
      </c>
      <c r="F23" s="78">
        <v>690</v>
      </c>
      <c r="G23" s="399">
        <v>600</v>
      </c>
      <c r="H23" s="404">
        <v>560</v>
      </c>
      <c r="I23" s="521">
        <v>510</v>
      </c>
      <c r="J23" s="521">
        <v>510</v>
      </c>
      <c r="K23" s="521">
        <v>510</v>
      </c>
      <c r="M23" s="102">
        <f>J23/'Population Figures'!M8*1000</f>
        <v>28.026597790844644</v>
      </c>
      <c r="N23" s="93">
        <f>C23/'Population Figures'!M8*1000</f>
        <v>39.566961587074786</v>
      </c>
      <c r="O23" s="93">
        <f>D23/'Population Figures'!P8*1000</f>
        <v>42.693471681798528</v>
      </c>
      <c r="P23" s="93">
        <f>E23/'Population Figures'!S8*1000</f>
        <v>41.05134083275577</v>
      </c>
      <c r="Q23" s="93">
        <f>F23/'Population Figures'!V8*1000</f>
        <v>36.21286868898919</v>
      </c>
      <c r="R23" s="93">
        <f>G23/'Population Figures'!Y8*1000</f>
        <v>31.004547333608929</v>
      </c>
      <c r="S23" s="93">
        <f>H23/'Population Figures'!AB8*1000</f>
        <v>28.737106789141478</v>
      </c>
      <c r="T23" s="93">
        <f>I23/'Population Figures'!AE8*1000</f>
        <v>25.303894815182336</v>
      </c>
      <c r="U23" s="93">
        <f>J23/'Population Figures'!AH8*1000</f>
        <v>24.733268671193017</v>
      </c>
      <c r="V23" s="93">
        <f>K23/'Population Figures'!AK8*1000</f>
        <v>24.156877605153465</v>
      </c>
    </row>
    <row r="24" spans="1:22" ht="12" customHeight="1">
      <c r="A24" s="91" t="s">
        <v>35</v>
      </c>
      <c r="B24" s="78">
        <v>260</v>
      </c>
      <c r="C24" s="78">
        <v>260</v>
      </c>
      <c r="D24" s="78">
        <v>250</v>
      </c>
      <c r="E24" s="78">
        <v>240</v>
      </c>
      <c r="F24" s="78">
        <v>230</v>
      </c>
      <c r="G24" s="399">
        <v>230</v>
      </c>
      <c r="H24" s="404">
        <v>210</v>
      </c>
      <c r="I24" s="521">
        <v>220</v>
      </c>
      <c r="J24" s="521">
        <v>210</v>
      </c>
      <c r="K24" s="521">
        <v>200</v>
      </c>
      <c r="M24" s="102">
        <f>J24/'Population Figures'!M9*1000</f>
        <v>28.290448605685032</v>
      </c>
      <c r="N24" s="93">
        <f>C24/'Population Figures'!M9*1000</f>
        <v>35.026269702276707</v>
      </c>
      <c r="O24" s="93">
        <f>D24/'Population Figures'!P9*1000</f>
        <v>33.038192150125546</v>
      </c>
      <c r="P24" s="93">
        <f>E24/'Population Figures'!S9*1000</f>
        <v>31.084056469369255</v>
      </c>
      <c r="Q24" s="93">
        <f>F24/'Population Figures'!V9*1000</f>
        <v>29.210058420116841</v>
      </c>
      <c r="R24" s="93">
        <f>G24/'Population Figures'!Y9*1000</f>
        <v>28.426646891607962</v>
      </c>
      <c r="S24" s="93">
        <f>H24/'Population Figures'!AB9*1000</f>
        <v>25.258599951888382</v>
      </c>
      <c r="T24" s="93">
        <f>I24/'Population Figures'!AE9*1000</f>
        <v>25.197571870347041</v>
      </c>
      <c r="U24" s="93">
        <f>J24/'Population Figures'!AH9*1000</f>
        <v>23.284177846767932</v>
      </c>
      <c r="V24" s="93">
        <f>K24/'Population Figures'!AK9*1000</f>
        <v>21.438525029477972</v>
      </c>
    </row>
    <row r="25" spans="1:22" ht="12" customHeight="1">
      <c r="A25" s="91" t="s">
        <v>36</v>
      </c>
      <c r="B25" s="78">
        <v>790</v>
      </c>
      <c r="C25" s="78">
        <v>800</v>
      </c>
      <c r="D25" s="78">
        <v>870</v>
      </c>
      <c r="E25" s="78">
        <v>900</v>
      </c>
      <c r="F25" s="78">
        <v>910</v>
      </c>
      <c r="G25" s="399">
        <v>880</v>
      </c>
      <c r="H25" s="404">
        <v>930</v>
      </c>
      <c r="I25" s="521">
        <v>940</v>
      </c>
      <c r="J25" s="521">
        <v>960</v>
      </c>
      <c r="K25" s="521">
        <v>920</v>
      </c>
      <c r="M25" s="102">
        <f>J25/'Population Figures'!M10*1000</f>
        <v>31.430068098480881</v>
      </c>
      <c r="N25" s="93">
        <f>C25/'Population Figures'!M10*1000</f>
        <v>26.191723415400734</v>
      </c>
      <c r="O25" s="93">
        <f>D25/'Population Figures'!P10*1000</f>
        <v>27.985074626865671</v>
      </c>
      <c r="P25" s="93">
        <f>E25/'Population Figures'!S10*1000</f>
        <v>28.336639274582033</v>
      </c>
      <c r="Q25" s="93">
        <f>F25/'Population Figures'!V10*1000</f>
        <v>28.09422370411534</v>
      </c>
      <c r="R25" s="93">
        <f>G25/'Population Figures'!Y10*1000</f>
        <v>26.789247770099546</v>
      </c>
      <c r="S25" s="93">
        <f>H25/'Population Figures'!AB10*1000</f>
        <v>27.924573624789815</v>
      </c>
      <c r="T25" s="93">
        <f>I25/'Population Figures'!AE10*1000</f>
        <v>27.374919913798124</v>
      </c>
      <c r="U25" s="93">
        <f>J25/'Population Figures'!AH10*1000</f>
        <v>27.405081358835286</v>
      </c>
      <c r="V25" s="93">
        <f>K25/'Population Figures'!AK10*1000</f>
        <v>25.723472668810288</v>
      </c>
    </row>
    <row r="26" spans="1:22" ht="12" customHeight="1">
      <c r="A26" s="91" t="s">
        <v>37</v>
      </c>
      <c r="B26" s="78">
        <v>850</v>
      </c>
      <c r="C26" s="78">
        <v>820</v>
      </c>
      <c r="D26" s="78">
        <v>880</v>
      </c>
      <c r="E26" s="78">
        <v>960</v>
      </c>
      <c r="F26" s="78">
        <v>990</v>
      </c>
      <c r="G26" s="399">
        <v>960</v>
      </c>
      <c r="H26" s="404">
        <v>940</v>
      </c>
      <c r="I26" s="521">
        <v>970</v>
      </c>
      <c r="J26" s="521">
        <v>1060</v>
      </c>
      <c r="K26" s="521">
        <v>1050</v>
      </c>
      <c r="M26" s="102">
        <f>J26/'Population Figures'!M11*1000</f>
        <v>41.386849914102761</v>
      </c>
      <c r="N26" s="93">
        <f>C26/'Population Figures'!M11*1000</f>
        <v>32.016242386381386</v>
      </c>
      <c r="O26" s="93">
        <f>D26/'Population Figures'!P11*1000</f>
        <v>34.255907197633235</v>
      </c>
      <c r="P26" s="93">
        <f>E26/'Population Figures'!S11*1000</f>
        <v>37.422523681440765</v>
      </c>
      <c r="Q26" s="93">
        <f>F26/'Population Figures'!V11*1000</f>
        <v>38.674896476287209</v>
      </c>
      <c r="R26" s="93">
        <f>G26/'Population Figures'!Y11*1000</f>
        <v>37.425441503255236</v>
      </c>
      <c r="S26" s="93">
        <f>H26/'Population Figures'!AB11*1000</f>
        <v>38.121502149403845</v>
      </c>
      <c r="T26" s="93">
        <f>I26/'Population Figures'!AE11*1000</f>
        <v>38.5793262538281</v>
      </c>
      <c r="U26" s="93">
        <f>J26/'Population Figures'!AH11*1000</f>
        <v>41.661753724010538</v>
      </c>
      <c r="V26" s="93">
        <f>K26/'Population Figures'!AK11*1000</f>
        <v>40.703985113971157</v>
      </c>
    </row>
    <row r="27" spans="1:22" ht="12" customHeight="1">
      <c r="A27" s="91" t="s">
        <v>38</v>
      </c>
      <c r="B27" s="78">
        <v>710</v>
      </c>
      <c r="C27" s="78">
        <v>690</v>
      </c>
      <c r="D27" s="78">
        <v>690</v>
      </c>
      <c r="E27" s="78">
        <v>700</v>
      </c>
      <c r="F27" s="78">
        <v>710</v>
      </c>
      <c r="G27" s="399">
        <v>740</v>
      </c>
      <c r="H27" s="404">
        <v>570</v>
      </c>
      <c r="I27" s="521">
        <v>710</v>
      </c>
      <c r="J27" s="521">
        <v>800</v>
      </c>
      <c r="K27" s="521">
        <v>720</v>
      </c>
      <c r="M27" s="102">
        <f>J27/'Population Figures'!M12*1000</f>
        <v>39.976014391365183</v>
      </c>
      <c r="N27" s="93">
        <f>C27/'Population Figures'!M12*1000</f>
        <v>34.479312412552467</v>
      </c>
      <c r="O27" s="93">
        <f>D27/'Population Figures'!P12*1000</f>
        <v>34.170257019759319</v>
      </c>
      <c r="P27" s="93">
        <f>E27/'Population Figures'!S12*1000</f>
        <v>34.26501541925694</v>
      </c>
      <c r="Q27" s="93">
        <f>F27/'Population Figures'!V12*1000</f>
        <v>34.183919114106885</v>
      </c>
      <c r="R27" s="93">
        <f>G27/'Population Figures'!Y12*1000</f>
        <v>34.976603488207211</v>
      </c>
      <c r="S27" s="93">
        <f>H27/'Population Figures'!AB12*1000</f>
        <v>26.600709352249392</v>
      </c>
      <c r="T27" s="93">
        <f>I27/'Population Figures'!AE12*1000</f>
        <v>31.921589785091271</v>
      </c>
      <c r="U27" s="93">
        <f>J27/'Population Figures'!AH12*1000</f>
        <v>35.092336710970741</v>
      </c>
      <c r="V27" s="93">
        <f>K27/'Population Figures'!AK12*1000</f>
        <v>31.027795733678087</v>
      </c>
    </row>
    <row r="28" spans="1:22" ht="12" customHeight="1">
      <c r="A28" s="91" t="s">
        <v>39</v>
      </c>
      <c r="B28" s="78">
        <v>530</v>
      </c>
      <c r="C28" s="78">
        <v>540</v>
      </c>
      <c r="D28" s="78">
        <v>560</v>
      </c>
      <c r="E28" s="78">
        <v>590</v>
      </c>
      <c r="F28" s="78">
        <v>610</v>
      </c>
      <c r="G28" s="399">
        <v>580</v>
      </c>
      <c r="H28" s="404">
        <v>580</v>
      </c>
      <c r="I28" s="521">
        <v>610</v>
      </c>
      <c r="J28" s="521">
        <v>650</v>
      </c>
      <c r="K28" s="521">
        <v>640</v>
      </c>
      <c r="M28" s="102">
        <f>J28/'Population Figures'!M13*1000</f>
        <v>35.131337152740244</v>
      </c>
      <c r="N28" s="93">
        <f>C28/'Population Figures'!M13*1000</f>
        <v>29.186033942276509</v>
      </c>
      <c r="O28" s="93">
        <f>D28/'Population Figures'!P13*1000</f>
        <v>29.957738190766598</v>
      </c>
      <c r="P28" s="93">
        <f>E28/'Population Figures'!S13*1000</f>
        <v>31.023241139972658</v>
      </c>
      <c r="Q28" s="93">
        <f>F28/'Population Figures'!V13*1000</f>
        <v>31.404448105436572</v>
      </c>
      <c r="R28" s="93">
        <f>G28/'Population Figures'!Y13*1000</f>
        <v>29.260417717687417</v>
      </c>
      <c r="S28" s="93">
        <f>H28/'Population Figures'!AB13*1000</f>
        <v>28.129395218002813</v>
      </c>
      <c r="T28" s="93">
        <f>I28/'Population Figures'!AE13*1000</f>
        <v>28.424976700838769</v>
      </c>
      <c r="U28" s="93">
        <f>J28/'Population Figures'!AH13*1000</f>
        <v>29.540083621159788</v>
      </c>
      <c r="V28" s="93">
        <f>K28/'Population Figures'!AK13*1000</f>
        <v>28.288543140028288</v>
      </c>
    </row>
    <row r="29" spans="1:22" ht="12" customHeight="1">
      <c r="A29" s="91" t="s">
        <v>40</v>
      </c>
      <c r="B29" s="78">
        <v>570</v>
      </c>
      <c r="C29" s="78">
        <v>570</v>
      </c>
      <c r="D29" s="78">
        <v>590</v>
      </c>
      <c r="E29" s="78">
        <v>570</v>
      </c>
      <c r="F29" s="78">
        <v>570</v>
      </c>
      <c r="G29" s="399">
        <v>600</v>
      </c>
      <c r="H29" s="404">
        <v>610</v>
      </c>
      <c r="I29" s="521">
        <v>580</v>
      </c>
      <c r="J29" s="521">
        <v>600</v>
      </c>
      <c r="K29" s="521">
        <v>570</v>
      </c>
      <c r="M29" s="102">
        <f>J29/'Population Figures'!M14*1000</f>
        <v>36.452004860267309</v>
      </c>
      <c r="N29" s="93">
        <f>C29/'Population Figures'!M14*1000</f>
        <v>34.629404617253954</v>
      </c>
      <c r="O29" s="93">
        <f>D29/'Population Figures'!P14*1000</f>
        <v>35.40566490638502</v>
      </c>
      <c r="P29" s="93">
        <f>E29/'Population Figures'!S14*1000</f>
        <v>33.719829626123996</v>
      </c>
      <c r="Q29" s="93">
        <f>F29/'Population Figures'!V14*1000</f>
        <v>33.010945734638327</v>
      </c>
      <c r="R29" s="93">
        <f>G29/'Population Figures'!Y14*1000</f>
        <v>34.223134839151264</v>
      </c>
      <c r="S29" s="93">
        <f>H29/'Population Figures'!AB14*1000</f>
        <v>34.05728323376696</v>
      </c>
      <c r="T29" s="93">
        <f>I29/'Population Figures'!AE14*1000</f>
        <v>31.241583625100994</v>
      </c>
      <c r="U29" s="93">
        <f>J29/'Population Figures'!AH14*1000</f>
        <v>31.413612565445025</v>
      </c>
      <c r="V29" s="93">
        <f>K29/'Population Figures'!AK14*1000</f>
        <v>29.236766516208451</v>
      </c>
    </row>
    <row r="30" spans="1:22" ht="12" customHeight="1">
      <c r="A30" s="91" t="s">
        <v>41</v>
      </c>
      <c r="B30" s="78">
        <v>610</v>
      </c>
      <c r="C30" s="78">
        <v>570</v>
      </c>
      <c r="D30" s="78">
        <v>530</v>
      </c>
      <c r="E30" s="78">
        <v>530</v>
      </c>
      <c r="F30" s="78">
        <v>520</v>
      </c>
      <c r="G30" s="399">
        <v>510</v>
      </c>
      <c r="H30" s="404">
        <v>510</v>
      </c>
      <c r="I30" s="521">
        <v>560</v>
      </c>
      <c r="J30" s="521">
        <v>570</v>
      </c>
      <c r="K30" s="521">
        <v>570</v>
      </c>
      <c r="M30" s="102">
        <f>J30/'Population Figures'!M15*1000</f>
        <v>37.384403489210996</v>
      </c>
      <c r="N30" s="93">
        <f>C30/'Population Figures'!M15*1000</f>
        <v>37.384403489210996</v>
      </c>
      <c r="O30" s="93">
        <f>D30/'Population Figures'!P15*1000</f>
        <v>34.514196405313882</v>
      </c>
      <c r="P30" s="93">
        <f>E30/'Population Figures'!S15*1000</f>
        <v>34.011422704228963</v>
      </c>
      <c r="Q30" s="93">
        <f>F30/'Population Figures'!V15*1000</f>
        <v>32.733224222585925</v>
      </c>
      <c r="R30" s="93">
        <f>G30/'Population Figures'!Y15*1000</f>
        <v>31.678986272439278</v>
      </c>
      <c r="S30" s="93">
        <f>H30/'Population Figures'!AB15*1000</f>
        <v>31.16978364503117</v>
      </c>
      <c r="T30" s="93">
        <f>I30/'Population Figures'!AE15*1000</f>
        <v>33.124334555779015</v>
      </c>
      <c r="U30" s="93">
        <f>J30/'Population Figures'!AH15*1000</f>
        <v>33.01668211306766</v>
      </c>
      <c r="V30" s="93">
        <f>K30/'Population Figures'!AK15*1000</f>
        <v>32.223415682062303</v>
      </c>
    </row>
    <row r="31" spans="1:22" ht="12" customHeight="1">
      <c r="A31" s="91" t="s">
        <v>140</v>
      </c>
      <c r="B31" s="78">
        <v>3040</v>
      </c>
      <c r="C31" s="78">
        <v>3010</v>
      </c>
      <c r="D31" s="78">
        <v>2950</v>
      </c>
      <c r="E31" s="78">
        <v>2840</v>
      </c>
      <c r="F31" s="78">
        <v>2870</v>
      </c>
      <c r="G31" s="399">
        <v>2870</v>
      </c>
      <c r="H31" s="404">
        <v>2800</v>
      </c>
      <c r="I31" s="521">
        <v>2710</v>
      </c>
      <c r="J31" s="521">
        <v>2660</v>
      </c>
      <c r="K31" s="521">
        <v>2590</v>
      </c>
      <c r="M31" s="102">
        <f>J31/'Population Figures'!M16*1000</f>
        <v>38.889457448208304</v>
      </c>
      <c r="N31" s="93">
        <f>C31/'Population Figures'!M16*1000</f>
        <v>44.006491322972558</v>
      </c>
      <c r="O31" s="93">
        <f>D31/'Population Figures'!P16*1000</f>
        <v>43.14631720587375</v>
      </c>
      <c r="P31" s="93">
        <f>E31/'Population Figures'!S16*1000</f>
        <v>41.39338288879172</v>
      </c>
      <c r="Q31" s="93">
        <f>F31/'Population Figures'!V16*1000</f>
        <v>41.615915550142105</v>
      </c>
      <c r="R31" s="93">
        <f>G31/'Population Figures'!Y16*1000</f>
        <v>41.358638479385526</v>
      </c>
      <c r="S31" s="93">
        <f>H31/'Population Figures'!AB16*1000</f>
        <v>40.67993607438617</v>
      </c>
      <c r="T31" s="93">
        <f>I31/'Population Figures'!AE16*1000</f>
        <v>38.229319489899567</v>
      </c>
      <c r="U31" s="93">
        <f>J31/'Population Figures'!AH16*1000</f>
        <v>36.823744393377268</v>
      </c>
      <c r="V31" s="93">
        <f>K31/'Population Figures'!AK16*1000</f>
        <v>35.090571610508199</v>
      </c>
    </row>
    <row r="32" spans="1:22" ht="12" customHeight="1">
      <c r="A32" s="91" t="s">
        <v>42</v>
      </c>
      <c r="B32" s="78">
        <v>190</v>
      </c>
      <c r="C32" s="78">
        <v>190</v>
      </c>
      <c r="D32" s="78">
        <v>190</v>
      </c>
      <c r="E32" s="78">
        <v>190</v>
      </c>
      <c r="F32" s="78">
        <v>190</v>
      </c>
      <c r="G32" s="399">
        <v>190</v>
      </c>
      <c r="H32" s="404">
        <v>190</v>
      </c>
      <c r="I32" s="521">
        <v>190</v>
      </c>
      <c r="J32" s="521">
        <v>180</v>
      </c>
      <c r="K32" s="521">
        <v>180</v>
      </c>
      <c r="M32" s="102">
        <f>J32/'Population Figures'!M17*1000</f>
        <v>33.271719038817004</v>
      </c>
      <c r="N32" s="93">
        <f>C32/'Population Figures'!M17*1000</f>
        <v>35.120147874306838</v>
      </c>
      <c r="O32" s="93">
        <f>D32/'Population Figures'!P17*1000</f>
        <v>34.939315924972419</v>
      </c>
      <c r="P32" s="93">
        <f>E32/'Population Figures'!S17*1000</f>
        <v>34.345625451916128</v>
      </c>
      <c r="Q32" s="93">
        <f>F32/'Population Figures'!V17*1000</f>
        <v>33.831908831908834</v>
      </c>
      <c r="R32" s="93">
        <f>G32/'Population Figures'!Y17*1000</f>
        <v>33.527439562378682</v>
      </c>
      <c r="S32" s="93">
        <f>H32/'Population Figures'!AB17*1000</f>
        <v>31.556219897027074</v>
      </c>
      <c r="T32" s="93">
        <f>I32/'Population Figures'!AE17*1000</f>
        <v>30.76424870466321</v>
      </c>
      <c r="U32" s="93">
        <f>J32/'Population Figures'!AH17*1000</f>
        <v>28.726460261729969</v>
      </c>
      <c r="V32" s="93">
        <f>K32/'Population Figures'!AK17*1000</f>
        <v>27.924294135898233</v>
      </c>
    </row>
    <row r="33" spans="1:22" ht="12" customHeight="1">
      <c r="A33" s="91" t="s">
        <v>43</v>
      </c>
      <c r="B33" s="78">
        <v>720</v>
      </c>
      <c r="C33" s="78">
        <v>740</v>
      </c>
      <c r="D33" s="78">
        <v>740</v>
      </c>
      <c r="E33" s="78">
        <v>760</v>
      </c>
      <c r="F33" s="78">
        <v>760</v>
      </c>
      <c r="G33" s="399">
        <v>780</v>
      </c>
      <c r="H33" s="404">
        <v>800</v>
      </c>
      <c r="I33" s="521">
        <v>790</v>
      </c>
      <c r="J33" s="521">
        <v>850</v>
      </c>
      <c r="K33" s="521">
        <v>860</v>
      </c>
      <c r="M33" s="102">
        <f>J33/'Population Figures'!M18*1000</f>
        <v>35.991023415336407</v>
      </c>
      <c r="N33" s="93">
        <f>C33/'Population Figures'!M18*1000</f>
        <v>31.33336156158699</v>
      </c>
      <c r="O33" s="93">
        <f>D33/'Population Figures'!P18*1000</f>
        <v>31.038966486305107</v>
      </c>
      <c r="P33" s="93">
        <f>E33/'Population Figures'!S18*1000</f>
        <v>31.324705300469873</v>
      </c>
      <c r="Q33" s="93">
        <f>F33/'Population Figures'!V18*1000</f>
        <v>30.839149488719364</v>
      </c>
      <c r="R33" s="93">
        <f>G33/'Population Figures'!Y18*1000</f>
        <v>31.005286798902887</v>
      </c>
      <c r="S33" s="93">
        <f>H33/'Population Figures'!AB18*1000</f>
        <v>31.400871374180635</v>
      </c>
      <c r="T33" s="93">
        <f>I33/'Population Figures'!AE18*1000</f>
        <v>29.85638699924414</v>
      </c>
      <c r="U33" s="93">
        <f>J33/'Population Figures'!AH18*1000</f>
        <v>31.256894903287488</v>
      </c>
      <c r="V33" s="93">
        <f>K33/'Population Figures'!AK18*1000</f>
        <v>30.757125996924287</v>
      </c>
    </row>
    <row r="34" spans="1:22" ht="12" customHeight="1">
      <c r="A34" s="91" t="s">
        <v>44</v>
      </c>
      <c r="B34" s="78">
        <v>2060</v>
      </c>
      <c r="C34" s="78">
        <v>2020</v>
      </c>
      <c r="D34" s="78">
        <v>2190</v>
      </c>
      <c r="E34" s="78">
        <v>2130</v>
      </c>
      <c r="F34" s="78">
        <v>2150</v>
      </c>
      <c r="G34" s="399">
        <v>2170</v>
      </c>
      <c r="H34" s="404">
        <v>2230</v>
      </c>
      <c r="I34" s="521">
        <v>2120</v>
      </c>
      <c r="J34" s="521">
        <v>1880</v>
      </c>
      <c r="K34" s="521">
        <v>2210</v>
      </c>
      <c r="M34" s="102">
        <f>J34/'Population Figures'!M19*1000</f>
        <v>31.417112299465241</v>
      </c>
      <c r="N34" s="93">
        <f>C34/'Population Figures'!M19*1000</f>
        <v>33.756684491978611</v>
      </c>
      <c r="O34" s="93">
        <f>D34/'Population Figures'!P19*1000</f>
        <v>36.108225750605925</v>
      </c>
      <c r="P34" s="93">
        <f>E34/'Population Figures'!S19*1000</f>
        <v>34.4922513885965</v>
      </c>
      <c r="Q34" s="93">
        <f>F34/'Population Figures'!V19*1000</f>
        <v>34.149750627402391</v>
      </c>
      <c r="R34" s="93">
        <f>G34/'Population Figures'!Y19*1000</f>
        <v>33.792727555867003</v>
      </c>
      <c r="S34" s="93">
        <f>H34/'Population Figures'!AB19*1000</f>
        <v>34.521727015186464</v>
      </c>
      <c r="T34" s="93">
        <f>I34/'Population Figures'!AE19*1000</f>
        <v>31.569699045463349</v>
      </c>
      <c r="U34" s="93">
        <f>J34/'Population Figures'!AH19*1000</f>
        <v>27.240060275878058</v>
      </c>
      <c r="V34" s="93">
        <f>K34/'Population Figures'!AK19*1000</f>
        <v>31.099165529178336</v>
      </c>
    </row>
    <row r="35" spans="1:22" ht="12" customHeight="1">
      <c r="A35" s="91" t="s">
        <v>45</v>
      </c>
      <c r="B35" s="78">
        <v>4530</v>
      </c>
      <c r="C35" s="78">
        <v>4530</v>
      </c>
      <c r="D35" s="78">
        <v>4430</v>
      </c>
      <c r="E35" s="78">
        <v>4300</v>
      </c>
      <c r="F35" s="78">
        <v>4180</v>
      </c>
      <c r="G35" s="399">
        <v>4000</v>
      </c>
      <c r="H35" s="404">
        <v>3960</v>
      </c>
      <c r="I35" s="521">
        <v>3900</v>
      </c>
      <c r="J35" s="521">
        <v>3800</v>
      </c>
      <c r="K35" s="521">
        <v>3570</v>
      </c>
      <c r="M35" s="102">
        <f>J35/'Population Figures'!M20*1000</f>
        <v>44.986918277711347</v>
      </c>
      <c r="N35" s="93">
        <f>C35/'Population Figures'!M20*1000</f>
        <v>53.629142052113792</v>
      </c>
      <c r="O35" s="93">
        <f>D35/'Population Figures'!P20*1000</f>
        <v>53.210656545030872</v>
      </c>
      <c r="P35" s="93">
        <f>E35/'Population Figures'!S20*1000</f>
        <v>52.164840897235266</v>
      </c>
      <c r="Q35" s="93">
        <f>F35/'Population Figures'!V20*1000</f>
        <v>51.260669086628084</v>
      </c>
      <c r="R35" s="93">
        <f>G35/'Population Figures'!Y20*1000</f>
        <v>49.46638141053387</v>
      </c>
      <c r="S35" s="93">
        <f>H35/'Population Figures'!AB20*1000</f>
        <v>48.145311303206043</v>
      </c>
      <c r="T35" s="93">
        <f>I35/'Population Figures'!AE20*1000</f>
        <v>47.011740880927697</v>
      </c>
      <c r="U35" s="93">
        <f>J35/'Population Figures'!AH20*1000</f>
        <v>45.678018054837665</v>
      </c>
      <c r="V35" s="93">
        <f>K35/'Population Figures'!AK20*1000</f>
        <v>42.737600708701954</v>
      </c>
    </row>
    <row r="36" spans="1:22" ht="12" customHeight="1">
      <c r="A36" s="91" t="s">
        <v>46</v>
      </c>
      <c r="B36" s="78">
        <v>1440</v>
      </c>
      <c r="C36" s="78">
        <v>1410</v>
      </c>
      <c r="D36" s="78">
        <v>1440</v>
      </c>
      <c r="E36" s="78">
        <v>1450</v>
      </c>
      <c r="F36" s="78">
        <v>1510</v>
      </c>
      <c r="G36" s="399">
        <v>1510</v>
      </c>
      <c r="H36" s="404">
        <v>1500</v>
      </c>
      <c r="I36" s="521">
        <v>1470</v>
      </c>
      <c r="J36" s="521">
        <v>1490</v>
      </c>
      <c r="K36" s="521">
        <v>1560</v>
      </c>
      <c r="M36" s="102">
        <f>J36/'Population Figures'!M21*1000</f>
        <v>39.172384783237376</v>
      </c>
      <c r="N36" s="93">
        <f>C36/'Population Figures'!M21*1000</f>
        <v>37.069169492862216</v>
      </c>
      <c r="O36" s="93">
        <f>D36/'Population Figures'!P21*1000</f>
        <v>37.087593684806961</v>
      </c>
      <c r="P36" s="93">
        <f>E36/'Population Figures'!S21*1000</f>
        <v>36.374582946592078</v>
      </c>
      <c r="Q36" s="93">
        <f>F36/'Population Figures'!V21*1000</f>
        <v>36.942799823848901</v>
      </c>
      <c r="R36" s="93">
        <f>G36/'Population Figures'!Y21*1000</f>
        <v>36.230145400451079</v>
      </c>
      <c r="S36" s="93">
        <f>H36/'Population Figures'!AB21*1000</f>
        <v>34.54310980103169</v>
      </c>
      <c r="T36" s="93">
        <f>I36/'Population Figures'!AE21*1000</f>
        <v>32.631859350026637</v>
      </c>
      <c r="U36" s="93">
        <f>J36/'Population Figures'!AH21*1000</f>
        <v>32.014782664747216</v>
      </c>
      <c r="V36" s="93">
        <f>K36/'Population Figures'!AK21*1000</f>
        <v>32.489846922836612</v>
      </c>
    </row>
    <row r="37" spans="1:22" ht="12" customHeight="1">
      <c r="A37" s="91" t="s">
        <v>47</v>
      </c>
      <c r="B37" s="78">
        <v>580</v>
      </c>
      <c r="C37" s="78">
        <v>540</v>
      </c>
      <c r="D37" s="78">
        <v>580</v>
      </c>
      <c r="E37" s="78">
        <v>600</v>
      </c>
      <c r="F37" s="78">
        <v>560</v>
      </c>
      <c r="G37" s="399">
        <v>610</v>
      </c>
      <c r="H37" s="404">
        <v>600</v>
      </c>
      <c r="I37" s="521">
        <v>570</v>
      </c>
      <c r="J37" s="521">
        <v>600</v>
      </c>
      <c r="K37" s="521">
        <v>680</v>
      </c>
      <c r="M37" s="102">
        <f>J37/'Population Figures'!M22*1000</f>
        <v>42.562247286656735</v>
      </c>
      <c r="N37" s="93">
        <f>C37/'Population Figures'!M22*1000</f>
        <v>38.306022557991064</v>
      </c>
      <c r="O37" s="93">
        <f>D37/'Population Figures'!P22*1000</f>
        <v>41.093949270228144</v>
      </c>
      <c r="P37" s="93">
        <f>E37/'Population Figures'!S22*1000</f>
        <v>42.14667041303737</v>
      </c>
      <c r="Q37" s="93">
        <f>F37/'Population Figures'!V22*1000</f>
        <v>38.98635477582846</v>
      </c>
      <c r="R37" s="93">
        <f>G37/'Population Figures'!Y22*1000</f>
        <v>42.229145032883352</v>
      </c>
      <c r="S37" s="93">
        <f>H37/'Population Figures'!AB22*1000</f>
        <v>40.439441935701289</v>
      </c>
      <c r="T37" s="93">
        <f>I37/'Population Figures'!AE22*1000</f>
        <v>37.497533057035724</v>
      </c>
      <c r="U37" s="93">
        <f>J37/'Population Figures'!AH22*1000</f>
        <v>38.88528839922229</v>
      </c>
      <c r="V37" s="93">
        <f>K37/'Population Figures'!AK22*1000</f>
        <v>43.336944745395449</v>
      </c>
    </row>
    <row r="38" spans="1:22" ht="12" customHeight="1">
      <c r="A38" s="91" t="s">
        <v>48</v>
      </c>
      <c r="B38" s="78">
        <v>470</v>
      </c>
      <c r="C38" s="78">
        <v>470</v>
      </c>
      <c r="D38" s="78">
        <v>490</v>
      </c>
      <c r="E38" s="78">
        <v>460</v>
      </c>
      <c r="F38" s="78">
        <v>440</v>
      </c>
      <c r="G38" s="399">
        <v>400</v>
      </c>
      <c r="H38" s="404">
        <v>390</v>
      </c>
      <c r="I38" s="521">
        <v>380</v>
      </c>
      <c r="J38" s="521">
        <v>380</v>
      </c>
      <c r="K38" s="521">
        <v>410</v>
      </c>
      <c r="M38" s="102">
        <f>J38/'Population Figures'!M23*1000</f>
        <v>30.063291139240508</v>
      </c>
      <c r="N38" s="93">
        <f>C38/'Population Figures'!M23*1000</f>
        <v>37.183544303797468</v>
      </c>
      <c r="O38" s="93">
        <f>D38/'Population Figures'!P23*1000</f>
        <v>38.36517381772628</v>
      </c>
      <c r="P38" s="93">
        <f>E38/'Population Figures'!S23*1000</f>
        <v>35.455526437490363</v>
      </c>
      <c r="Q38" s="93">
        <f>F38/'Population Figures'!V23*1000</f>
        <v>33.16749585406302</v>
      </c>
      <c r="R38" s="93">
        <f>G38/'Population Figures'!Y23*1000</f>
        <v>29.331964508322944</v>
      </c>
      <c r="S38" s="93">
        <f>H38/'Population Figures'!AB23*1000</f>
        <v>27.710672161432427</v>
      </c>
      <c r="T38" s="93">
        <f>I38/'Population Figures'!AE23*1000</f>
        <v>25.84155049302958</v>
      </c>
      <c r="U38" s="93">
        <f>J38/'Population Figures'!AH23*1000</f>
        <v>25.099075297225891</v>
      </c>
      <c r="V38" s="93">
        <f>K38/'Population Figures'!AK23*1000</f>
        <v>26.260167808877217</v>
      </c>
    </row>
    <row r="39" spans="1:22" ht="12" customHeight="1">
      <c r="A39" s="91" t="s">
        <v>49</v>
      </c>
      <c r="B39" s="78">
        <v>590</v>
      </c>
      <c r="C39" s="78">
        <v>550</v>
      </c>
      <c r="D39" s="78">
        <v>480</v>
      </c>
      <c r="E39" s="78">
        <v>500</v>
      </c>
      <c r="F39" s="78">
        <v>510</v>
      </c>
      <c r="G39" s="399">
        <v>510</v>
      </c>
      <c r="H39" s="404">
        <v>510</v>
      </c>
      <c r="I39" s="521">
        <v>520</v>
      </c>
      <c r="J39" s="521">
        <v>540</v>
      </c>
      <c r="K39" s="521">
        <v>490</v>
      </c>
      <c r="M39" s="102">
        <f>J39/'Population Figures'!M24*1000</f>
        <v>35.377358490566039</v>
      </c>
      <c r="N39" s="93">
        <f>C39/'Population Figures'!M24*1000</f>
        <v>36.032494758909849</v>
      </c>
      <c r="O39" s="93">
        <f>D39/'Population Figures'!P24*1000</f>
        <v>30.850311716691305</v>
      </c>
      <c r="P39" s="93">
        <f>E39/'Population Figures'!S24*1000</f>
        <v>31.385349318937919</v>
      </c>
      <c r="Q39" s="93">
        <f>F39/'Population Figures'!V24*1000</f>
        <v>31.369172099889283</v>
      </c>
      <c r="R39" s="93">
        <f>G39/'Population Figures'!Y24*1000</f>
        <v>30.732148237420912</v>
      </c>
      <c r="S39" s="93">
        <f>H39/'Population Figures'!AB24*1000</f>
        <v>29.360967184801382</v>
      </c>
      <c r="T39" s="93">
        <f>I39/'Population Figures'!AE24*1000</f>
        <v>28.966131907308377</v>
      </c>
      <c r="U39" s="93">
        <f>J39/'Population Figures'!AH24*1000</f>
        <v>29.219198095341159</v>
      </c>
      <c r="V39" s="93">
        <f>K39/'Population Figures'!AK24*1000</f>
        <v>25.789473684210524</v>
      </c>
    </row>
    <row r="40" spans="1:22" ht="12" customHeight="1">
      <c r="A40" s="91" t="s">
        <v>50</v>
      </c>
      <c r="B40" s="78">
        <v>850</v>
      </c>
      <c r="C40" s="78">
        <v>830</v>
      </c>
      <c r="D40" s="78">
        <v>800</v>
      </c>
      <c r="E40" s="78">
        <v>820</v>
      </c>
      <c r="F40" s="78">
        <v>830</v>
      </c>
      <c r="G40" s="399">
        <v>880</v>
      </c>
      <c r="H40" s="404">
        <v>900</v>
      </c>
      <c r="I40" s="521">
        <v>890</v>
      </c>
      <c r="J40" s="521">
        <v>910</v>
      </c>
      <c r="K40" s="521">
        <v>920</v>
      </c>
      <c r="M40" s="102">
        <f>J40/'Population Figures'!M25*1000</f>
        <v>38.523410380154097</v>
      </c>
      <c r="N40" s="93">
        <f>C40/'Population Figures'!M25*1000</f>
        <v>35.136736940140544</v>
      </c>
      <c r="O40" s="93">
        <f>D40/'Population Figures'!P25*1000</f>
        <v>33.365308420569711</v>
      </c>
      <c r="P40" s="93">
        <f>E40/'Population Figures'!S25*1000</f>
        <v>33.616201369245282</v>
      </c>
      <c r="Q40" s="93">
        <f>F40/'Population Figures'!V25*1000</f>
        <v>33.381595881595878</v>
      </c>
      <c r="R40" s="93">
        <f>G40/'Population Figures'!Y25*1000</f>
        <v>34.763372047088566</v>
      </c>
      <c r="S40" s="93">
        <f>H40/'Population Figures'!AB25*1000</f>
        <v>34.537012164703171</v>
      </c>
      <c r="T40" s="93">
        <f>I40/'Population Figures'!AE25*1000</f>
        <v>32.86315634000443</v>
      </c>
      <c r="U40" s="93">
        <f>J40/'Population Figures'!AH25*1000</f>
        <v>32.71851292561032</v>
      </c>
      <c r="V40" s="93">
        <f>K40/'Population Figures'!AK25*1000</f>
        <v>32.292032292032296</v>
      </c>
    </row>
    <row r="41" spans="1:22" ht="12" customHeight="1">
      <c r="A41" s="91" t="s">
        <v>51</v>
      </c>
      <c r="B41" s="78">
        <v>1410</v>
      </c>
      <c r="C41" s="78">
        <v>1490</v>
      </c>
      <c r="D41" s="78">
        <v>1450</v>
      </c>
      <c r="E41" s="78">
        <v>1450</v>
      </c>
      <c r="F41" s="78">
        <v>1430</v>
      </c>
      <c r="G41" s="399">
        <v>1400</v>
      </c>
      <c r="H41" s="404">
        <v>1360</v>
      </c>
      <c r="I41" s="521">
        <v>1320</v>
      </c>
      <c r="J41" s="521">
        <v>1360</v>
      </c>
      <c r="K41" s="521">
        <v>1290</v>
      </c>
      <c r="M41" s="102">
        <f>J41/'Population Figures'!M26*1000</f>
        <v>28.825162671414343</v>
      </c>
      <c r="N41" s="93">
        <f>C41/'Population Figures'!M26*1000</f>
        <v>31.580509103240715</v>
      </c>
      <c r="O41" s="93">
        <f>D41/'Population Figures'!P26*1000</f>
        <v>30.55268758296635</v>
      </c>
      <c r="P41" s="93">
        <f>E41/'Population Figures'!S26*1000</f>
        <v>30.088605756261543</v>
      </c>
      <c r="Q41" s="93">
        <f>F41/'Population Figures'!V26*1000</f>
        <v>29.128388976025096</v>
      </c>
      <c r="R41" s="93">
        <f>G41/'Population Figures'!Y26*1000</f>
        <v>28.224099348829707</v>
      </c>
      <c r="S41" s="93">
        <f>H41/'Population Figures'!AB26*1000</f>
        <v>26.797501527063506</v>
      </c>
      <c r="T41" s="93">
        <f>I41/'Population Figures'!AE26*1000</f>
        <v>25.227429095634893</v>
      </c>
      <c r="U41" s="93">
        <f>J41/'Population Figures'!AH26*1000</f>
        <v>25.414385289555806</v>
      </c>
      <c r="V41" s="93">
        <f>K41/'Population Figures'!AK26*1000</f>
        <v>23.54358300481822</v>
      </c>
    </row>
    <row r="42" spans="1:22" ht="12" customHeight="1">
      <c r="A42" s="91" t="s">
        <v>52</v>
      </c>
      <c r="B42" s="78">
        <v>100</v>
      </c>
      <c r="C42" s="78">
        <v>100</v>
      </c>
      <c r="D42" s="78">
        <v>100</v>
      </c>
      <c r="E42" s="78">
        <v>110</v>
      </c>
      <c r="F42" s="78">
        <v>110</v>
      </c>
      <c r="G42" s="399">
        <v>100</v>
      </c>
      <c r="H42" s="404">
        <v>100</v>
      </c>
      <c r="I42" s="521">
        <v>100</v>
      </c>
      <c r="J42" s="521">
        <v>100</v>
      </c>
      <c r="K42" s="521">
        <v>100</v>
      </c>
      <c r="M42" s="102">
        <f>J42/'Population Figures'!M27*1000</f>
        <v>27.917364600781685</v>
      </c>
      <c r="N42" s="93">
        <f>C42/'Population Figures'!M27*1000</f>
        <v>27.917364600781685</v>
      </c>
      <c r="O42" s="93">
        <f>D42/'Population Figures'!P27*1000</f>
        <v>27.048958615093319</v>
      </c>
      <c r="P42" s="93">
        <f>E42/'Population Figures'!S27*1000</f>
        <v>29.054410987849973</v>
      </c>
      <c r="Q42" s="93">
        <f>F42/'Population Figures'!V27*1000</f>
        <v>28.277634961439588</v>
      </c>
      <c r="R42" s="93">
        <f>G42/'Population Figures'!Y27*1000</f>
        <v>25.100401606425702</v>
      </c>
      <c r="S42" s="93">
        <f>H42/'Population Figures'!AB27*1000</f>
        <v>23.424689622862495</v>
      </c>
      <c r="T42" s="93">
        <f>I42/'Population Figures'!AE27*1000</f>
        <v>22.471910112359549</v>
      </c>
      <c r="U42" s="93">
        <f>J42/'Population Figures'!AH27*1000</f>
        <v>21.929824561403507</v>
      </c>
      <c r="V42" s="93">
        <f>K42/'Population Figures'!AK27*1000</f>
        <v>21.199915200339198</v>
      </c>
    </row>
    <row r="43" spans="1:22" ht="12" customHeight="1">
      <c r="A43" s="91" t="s">
        <v>53</v>
      </c>
      <c r="B43" s="78">
        <v>1140</v>
      </c>
      <c r="C43" s="78">
        <v>1070</v>
      </c>
      <c r="D43" s="78">
        <v>1060</v>
      </c>
      <c r="E43" s="78">
        <v>1040</v>
      </c>
      <c r="F43" s="78">
        <v>990</v>
      </c>
      <c r="G43" s="399">
        <v>850</v>
      </c>
      <c r="H43" s="404">
        <v>820</v>
      </c>
      <c r="I43" s="521">
        <v>800</v>
      </c>
      <c r="J43" s="521">
        <v>810</v>
      </c>
      <c r="K43" s="521">
        <v>790</v>
      </c>
      <c r="M43" s="102">
        <f>J43/'Population Figures'!M28*1000</f>
        <v>29.99555621389424</v>
      </c>
      <c r="N43" s="93">
        <f>C43/'Population Figures'!M28*1000</f>
        <v>39.623759443045479</v>
      </c>
      <c r="O43" s="93">
        <f>D43/'Population Figures'!P28*1000</f>
        <v>38.591764663050206</v>
      </c>
      <c r="P43" s="93">
        <f>E43/'Population Figures'!S28*1000</f>
        <v>37.141530659619299</v>
      </c>
      <c r="Q43" s="93">
        <f>F43/'Population Figures'!V28*1000</f>
        <v>34.738060984595947</v>
      </c>
      <c r="R43" s="93">
        <f>G43/'Population Figures'!Y28*1000</f>
        <v>29.202597313361046</v>
      </c>
      <c r="S43" s="93">
        <f>H43/'Population Figures'!AB28*1000</f>
        <v>27.479892761394101</v>
      </c>
      <c r="T43" s="93">
        <f>I43/'Population Figures'!AE28*1000</f>
        <v>25.828947793239273</v>
      </c>
      <c r="U43" s="93">
        <f>J43/'Population Figures'!AH28*1000</f>
        <v>25.52386954466677</v>
      </c>
      <c r="V43" s="93">
        <f>K43/'Population Figures'!AK28*1000</f>
        <v>24.295731332267192</v>
      </c>
    </row>
    <row r="44" spans="1:22" ht="12" customHeight="1">
      <c r="A44" s="91" t="s">
        <v>54</v>
      </c>
      <c r="B44" s="78">
        <v>1040</v>
      </c>
      <c r="C44" s="78">
        <v>1070</v>
      </c>
      <c r="D44" s="78">
        <v>1060</v>
      </c>
      <c r="E44" s="78">
        <v>1030</v>
      </c>
      <c r="F44" s="78">
        <v>1030</v>
      </c>
      <c r="G44" s="399">
        <v>1020</v>
      </c>
      <c r="H44" s="404">
        <v>1080</v>
      </c>
      <c r="I44" s="521">
        <v>1040</v>
      </c>
      <c r="J44" s="521">
        <v>1040</v>
      </c>
      <c r="K44" s="521">
        <v>990</v>
      </c>
      <c r="M44" s="102">
        <f>J44/'Population Figures'!M29*1000</f>
        <v>38.131553860819828</v>
      </c>
      <c r="N44" s="93">
        <f>C44/'Population Figures'!M29*1000</f>
        <v>39.231502529881936</v>
      </c>
      <c r="O44" s="93">
        <f>D44/'Population Figures'!P29*1000</f>
        <v>38.558073551344073</v>
      </c>
      <c r="P44" s="93">
        <f>E44/'Population Figures'!S29*1000</f>
        <v>37.050359712230218</v>
      </c>
      <c r="Q44" s="93">
        <f>F44/'Population Figures'!V29*1000</f>
        <v>36.517053109267536</v>
      </c>
      <c r="R44" s="93">
        <f>G44/'Population Figures'!Y29*1000</f>
        <v>35.894007108421015</v>
      </c>
      <c r="S44" s="93">
        <f>H44/'Population Figures'!AB29*1000</f>
        <v>36.439705783116267</v>
      </c>
      <c r="T44" s="93">
        <f>I44/'Population Figures'!AE29*1000</f>
        <v>34.023620244054044</v>
      </c>
      <c r="U44" s="93">
        <f>J44/'Population Figures'!AH29*1000</f>
        <v>33.469571653847389</v>
      </c>
      <c r="V44" s="93">
        <f>K44/'Population Figures'!AK29*1000</f>
        <v>31.180120311171304</v>
      </c>
    </row>
    <row r="45" spans="1:22" ht="12" customHeight="1">
      <c r="A45" s="91" t="s">
        <v>55</v>
      </c>
      <c r="B45" s="78">
        <v>750</v>
      </c>
      <c r="C45" s="78">
        <v>740</v>
      </c>
      <c r="D45" s="78">
        <v>720</v>
      </c>
      <c r="E45" s="78">
        <v>720</v>
      </c>
      <c r="F45" s="78">
        <v>700</v>
      </c>
      <c r="G45" s="399">
        <v>700</v>
      </c>
      <c r="H45" s="404">
        <v>680</v>
      </c>
      <c r="I45" s="521">
        <v>620</v>
      </c>
      <c r="J45" s="521">
        <v>660</v>
      </c>
      <c r="K45" s="521">
        <v>650</v>
      </c>
      <c r="M45" s="102">
        <f>J45/'Population Figures'!M30*1000</f>
        <v>31.042754338930436</v>
      </c>
      <c r="N45" s="93">
        <f>C45/'Population Figures'!M30*1000</f>
        <v>34.805512440618976</v>
      </c>
      <c r="O45" s="93">
        <f>D45/'Population Figures'!P30*1000</f>
        <v>33.424632096931433</v>
      </c>
      <c r="P45" s="93">
        <f>E45/'Population Figures'!S30*1000</f>
        <v>32.728760398199917</v>
      </c>
      <c r="Q45" s="93">
        <f>F45/'Population Figures'!V30*1000</f>
        <v>31.094527363184081</v>
      </c>
      <c r="R45" s="93">
        <f>G45/'Population Figures'!Y30*1000</f>
        <v>30.594405594405597</v>
      </c>
      <c r="S45" s="93">
        <f>H45/'Population Figures'!AB30*1000</f>
        <v>28.380634390651085</v>
      </c>
      <c r="T45" s="93">
        <f>I45/'Population Figures'!AE30*1000</f>
        <v>24.863650946422844</v>
      </c>
      <c r="U45" s="93">
        <f>J45/'Population Figures'!AH30*1000</f>
        <v>25.678935491401447</v>
      </c>
      <c r="V45" s="93">
        <f>K45/'Population Figures'!AK30*1000</f>
        <v>24.685731647107971</v>
      </c>
    </row>
    <row r="46" spans="1:22" ht="12" customHeight="1">
      <c r="A46" s="91" t="s">
        <v>56</v>
      </c>
      <c r="B46" s="78">
        <v>110</v>
      </c>
      <c r="C46" s="78">
        <v>110</v>
      </c>
      <c r="D46" s="78">
        <v>110</v>
      </c>
      <c r="E46" s="78">
        <v>110</v>
      </c>
      <c r="F46" s="78">
        <v>110</v>
      </c>
      <c r="G46" s="399">
        <v>110</v>
      </c>
      <c r="H46" s="404">
        <v>100</v>
      </c>
      <c r="I46" s="521">
        <v>90</v>
      </c>
      <c r="J46" s="521">
        <v>90</v>
      </c>
      <c r="K46" s="521">
        <v>100</v>
      </c>
      <c r="M46" s="102">
        <f>J46/'Population Figures'!M31*1000</f>
        <v>26.46280505733608</v>
      </c>
      <c r="N46" s="93">
        <f>C46/'Population Figures'!M31*1000</f>
        <v>32.343428403410762</v>
      </c>
      <c r="O46" s="93">
        <f>D46/'Population Figures'!P31*1000</f>
        <v>31.428571428571431</v>
      </c>
      <c r="P46" s="93">
        <f>E46/'Population Figures'!S31*1000</f>
        <v>30.386740331491712</v>
      </c>
      <c r="Q46" s="93">
        <f>F46/'Population Figures'!V31*1000</f>
        <v>29.56989247311828</v>
      </c>
      <c r="R46" s="93">
        <f>G46/'Population Figures'!Y31*1000</f>
        <v>28.993147074327883</v>
      </c>
      <c r="S46" s="93">
        <f>H46/'Population Figures'!AB31*1000</f>
        <v>26.343519494204426</v>
      </c>
      <c r="T46" s="93">
        <f>I46/'Population Figures'!AE31*1000</f>
        <v>22.601707684580614</v>
      </c>
      <c r="U46" s="93">
        <f>J46/'Population Figures'!AH31*1000</f>
        <v>21.935169388252497</v>
      </c>
      <c r="V46" s="93">
        <f>K46/'Population Figures'!AK31*1000</f>
        <v>23.629489603024574</v>
      </c>
    </row>
    <row r="47" spans="1:22" ht="12" customHeight="1">
      <c r="A47" s="91" t="s">
        <v>57</v>
      </c>
      <c r="B47" s="78">
        <v>820</v>
      </c>
      <c r="C47" s="78">
        <v>820</v>
      </c>
      <c r="D47" s="78">
        <v>810</v>
      </c>
      <c r="E47" s="78">
        <v>810</v>
      </c>
      <c r="F47" s="78">
        <v>820</v>
      </c>
      <c r="G47" s="399">
        <v>840</v>
      </c>
      <c r="H47" s="404">
        <v>850</v>
      </c>
      <c r="I47" s="521">
        <v>850</v>
      </c>
      <c r="J47" s="521">
        <v>840</v>
      </c>
      <c r="K47" s="521">
        <v>900</v>
      </c>
      <c r="M47" s="102">
        <f>J47/'Population Figures'!M32*1000</f>
        <v>37.348272642390292</v>
      </c>
      <c r="N47" s="93">
        <f>C47/'Population Figures'!M32*1000</f>
        <v>36.459028055666714</v>
      </c>
      <c r="O47" s="93">
        <f>D47/'Population Figures'!P32*1000</f>
        <v>35.563751317175978</v>
      </c>
      <c r="P47" s="93">
        <f>E47/'Population Figures'!S32*1000</f>
        <v>34.986178299930891</v>
      </c>
      <c r="Q47" s="93">
        <f>F47/'Population Figures'!V32*1000</f>
        <v>34.973982768915803</v>
      </c>
      <c r="R47" s="93">
        <f>G47/'Population Figures'!Y32*1000</f>
        <v>35.313406482532478</v>
      </c>
      <c r="S47" s="93">
        <f>H47/'Population Figures'!AB32*1000</f>
        <v>34.796135582118879</v>
      </c>
      <c r="T47" s="93">
        <f>I47/'Population Figures'!AE32*1000</f>
        <v>33.651371788273487</v>
      </c>
      <c r="U47" s="93">
        <f>J47/'Population Figures'!AH32*1000</f>
        <v>32.527881040892197</v>
      </c>
      <c r="V47" s="93">
        <f>K47/'Population Figures'!AK32*1000</f>
        <v>34.121929026387626</v>
      </c>
    </row>
    <row r="48" spans="1:22" ht="12" customHeight="1">
      <c r="A48" s="91" t="s">
        <v>58</v>
      </c>
      <c r="B48" s="78">
        <v>1670</v>
      </c>
      <c r="C48" s="78">
        <v>1660</v>
      </c>
      <c r="D48" s="78">
        <v>1680</v>
      </c>
      <c r="E48" s="78">
        <v>1720</v>
      </c>
      <c r="F48" s="78">
        <v>1760</v>
      </c>
      <c r="G48" s="399">
        <v>1710</v>
      </c>
      <c r="H48" s="404">
        <v>1730</v>
      </c>
      <c r="I48" s="521">
        <v>1680</v>
      </c>
      <c r="J48" s="521">
        <v>1680</v>
      </c>
      <c r="K48" s="521">
        <v>1690</v>
      </c>
      <c r="M48" s="102">
        <f>J48/'Population Figures'!M33*1000</f>
        <v>34.147729582503352</v>
      </c>
      <c r="N48" s="93">
        <f>C48/'Population Figures'!M33*1000</f>
        <v>33.741208992235457</v>
      </c>
      <c r="O48" s="93">
        <f>D48/'Population Figures'!P33*1000</f>
        <v>33.667334669338672</v>
      </c>
      <c r="P48" s="93">
        <f>E48/'Population Figures'!S33*1000</f>
        <v>33.969940552604037</v>
      </c>
      <c r="Q48" s="93">
        <f>F48/'Population Figures'!V33*1000</f>
        <v>34.181394445523402</v>
      </c>
      <c r="R48" s="93">
        <f>G48/'Population Figures'!Y33*1000</f>
        <v>32.742939205361417</v>
      </c>
      <c r="S48" s="93">
        <f>H48/'Population Figures'!AB33*1000</f>
        <v>32.48460267387712</v>
      </c>
      <c r="T48" s="93">
        <f>I48/'Population Figures'!AE33*1000</f>
        <v>30.534906123339212</v>
      </c>
      <c r="U48" s="93">
        <f>J48/'Population Figures'!AH33*1000</f>
        <v>29.793044742768981</v>
      </c>
      <c r="V48" s="93">
        <f>K48/'Population Figures'!AK33*1000</f>
        <v>29.336203305096515</v>
      </c>
    </row>
    <row r="49" spans="1:23" ht="12" customHeight="1">
      <c r="A49" s="91" t="s">
        <v>59</v>
      </c>
      <c r="B49" s="78">
        <v>550</v>
      </c>
      <c r="C49" s="78">
        <v>520</v>
      </c>
      <c r="D49" s="78">
        <v>520</v>
      </c>
      <c r="E49" s="78">
        <v>520</v>
      </c>
      <c r="F49" s="78">
        <v>520</v>
      </c>
      <c r="G49" s="399">
        <v>470</v>
      </c>
      <c r="H49" s="404">
        <v>460</v>
      </c>
      <c r="I49" s="521">
        <v>450</v>
      </c>
      <c r="J49" s="521">
        <v>460</v>
      </c>
      <c r="K49" s="521">
        <v>440</v>
      </c>
      <c r="M49" s="102">
        <f>J49/'Population Figures'!M34*1000</f>
        <v>32.212885154061624</v>
      </c>
      <c r="N49" s="93">
        <f>C49/'Population Figures'!M34*1000</f>
        <v>36.414565826330538</v>
      </c>
      <c r="O49" s="93">
        <f>D49/'Population Figures'!P34*1000</f>
        <v>35.859595889938625</v>
      </c>
      <c r="P49" s="93">
        <f>E49/'Population Figures'!S34*1000</f>
        <v>35.099561255484311</v>
      </c>
      <c r="Q49" s="93">
        <f>F49/'Population Figures'!V34*1000</f>
        <v>34.255599472990774</v>
      </c>
      <c r="R49" s="93">
        <f>G49/'Population Figures'!Y34*1000</f>
        <v>30.529392659954532</v>
      </c>
      <c r="S49" s="93">
        <f>H49/'Population Figures'!AB34*1000</f>
        <v>29.381706693919263</v>
      </c>
      <c r="T49" s="93">
        <f>I49/'Population Figures'!AE34*1000</f>
        <v>27.656566898162374</v>
      </c>
      <c r="U49" s="93">
        <f>J49/'Population Figures'!AH34*1000</f>
        <v>27.740923893378362</v>
      </c>
      <c r="V49" s="93">
        <f>K49/'Population Figures'!AK34*1000</f>
        <v>26.072529035316428</v>
      </c>
    </row>
    <row r="50" spans="1:23" ht="12" customHeight="1">
      <c r="A50" s="91" t="s">
        <v>60</v>
      </c>
      <c r="B50" s="78">
        <v>570</v>
      </c>
      <c r="C50" s="78">
        <v>510</v>
      </c>
      <c r="D50" s="78">
        <v>510</v>
      </c>
      <c r="E50" s="78">
        <v>510</v>
      </c>
      <c r="F50" s="78">
        <v>480</v>
      </c>
      <c r="G50" s="399">
        <v>480</v>
      </c>
      <c r="H50" s="404">
        <v>510</v>
      </c>
      <c r="I50" s="521">
        <v>530</v>
      </c>
      <c r="J50" s="521">
        <v>560</v>
      </c>
      <c r="K50" s="521">
        <v>540</v>
      </c>
      <c r="M50" s="102">
        <f>J50/'Population Figures'!M35*1000</f>
        <v>38.345658723637364</v>
      </c>
      <c r="N50" s="93">
        <f>C50/'Population Figures'!M35*1000</f>
        <v>34.921939194741164</v>
      </c>
      <c r="O50" s="93">
        <f>D50/'Population Figures'!P35*1000</f>
        <v>34.907597535934286</v>
      </c>
      <c r="P50" s="93">
        <f>E50/'Population Figures'!S35*1000</f>
        <v>34.857494361287678</v>
      </c>
      <c r="Q50" s="93">
        <f>F50/'Population Figures'!V35*1000</f>
        <v>32.480714575720668</v>
      </c>
      <c r="R50" s="93">
        <f>G50/'Population Figures'!Y35*1000</f>
        <v>32.193158953722339</v>
      </c>
      <c r="S50" s="93">
        <f>H50/'Population Figures'!AB35*1000</f>
        <v>34.027221777421936</v>
      </c>
      <c r="T50" s="93">
        <f>I50/'Population Figures'!AE35*1000</f>
        <v>34.706306070329383</v>
      </c>
      <c r="U50" s="93">
        <f>J50/'Population Figures'!AH35*1000</f>
        <v>36.091776230987364</v>
      </c>
      <c r="V50" s="93">
        <f>K50/'Population Figures'!AK35*1000</f>
        <v>34.305317324185253</v>
      </c>
    </row>
    <row r="51" spans="1:23" ht="12" customHeight="1">
      <c r="A51" s="91" t="s">
        <v>61</v>
      </c>
      <c r="B51" s="78">
        <v>580</v>
      </c>
      <c r="C51" s="78">
        <v>600</v>
      </c>
      <c r="D51" s="78">
        <v>630</v>
      </c>
      <c r="E51" s="78">
        <v>650</v>
      </c>
      <c r="F51" s="78">
        <v>620</v>
      </c>
      <c r="G51" s="399">
        <v>620</v>
      </c>
      <c r="H51" s="404">
        <v>670</v>
      </c>
      <c r="I51" s="521">
        <v>690</v>
      </c>
      <c r="J51" s="521">
        <v>690</v>
      </c>
      <c r="K51" s="521">
        <v>680</v>
      </c>
      <c r="M51" s="102">
        <f>J51/'Population Figures'!M36*1000</f>
        <v>33.177862191662257</v>
      </c>
      <c r="N51" s="93">
        <f>C51/'Population Figures'!M36*1000</f>
        <v>28.850314949271528</v>
      </c>
      <c r="O51" s="93">
        <f>D51/'Population Figures'!P36*1000</f>
        <v>29.422753596114326</v>
      </c>
      <c r="P51" s="93">
        <f>E51/'Population Figures'!S36*1000</f>
        <v>29.415757795175814</v>
      </c>
      <c r="Q51" s="93">
        <f>F51/'Population Figures'!V36*1000</f>
        <v>27.258738184216309</v>
      </c>
      <c r="R51" s="93">
        <f>G51/'Population Figures'!Y36*1000</f>
        <v>26.436977656489852</v>
      </c>
      <c r="S51" s="93">
        <f>H51/'Population Figures'!AB36*1000</f>
        <v>27.747867141555538</v>
      </c>
      <c r="T51" s="93">
        <f>I51/'Population Figures'!AE36*1000</f>
        <v>27.366834569468132</v>
      </c>
      <c r="U51" s="93">
        <f>J51/'Population Figures'!AH36*1000</f>
        <v>26.308765775727302</v>
      </c>
      <c r="V51" s="93">
        <f>K51/'Population Figures'!AK36*1000</f>
        <v>25.064504238849985</v>
      </c>
    </row>
    <row r="52" spans="1:23" ht="12" customHeight="1">
      <c r="A52" s="94" t="s">
        <v>5</v>
      </c>
      <c r="B52" s="100">
        <v>32020</v>
      </c>
      <c r="C52" s="100">
        <v>31680</v>
      </c>
      <c r="D52" s="100">
        <v>31730</v>
      </c>
      <c r="E52" s="100">
        <v>31530</v>
      </c>
      <c r="F52" s="100">
        <v>31470</v>
      </c>
      <c r="G52" s="522">
        <v>31020</v>
      </c>
      <c r="H52" s="100">
        <v>30750</v>
      </c>
      <c r="I52" s="523">
        <v>30120</v>
      </c>
      <c r="J52" s="523">
        <v>30400</v>
      </c>
      <c r="K52" s="523">
        <v>30260</v>
      </c>
      <c r="M52" s="103">
        <f>B52/'Population Figures'!J37*1000</f>
        <v>38.435038543069567</v>
      </c>
      <c r="N52" s="95">
        <f>C52/'Population Figures'!M37*1000</f>
        <v>37.805739598648159</v>
      </c>
      <c r="O52" s="95">
        <f>D52/'Population Figures'!P37*1000</f>
        <v>37.523074976378084</v>
      </c>
      <c r="P52" s="95">
        <f>E52/'Population Figures'!S37*1000</f>
        <v>36.810761397851593</v>
      </c>
      <c r="Q52" s="95">
        <f>F52/'Population Figures'!V37*1000</f>
        <v>36.234387089642972</v>
      </c>
      <c r="R52" s="95">
        <f>G52/'Population Figures'!Y37*1000</f>
        <v>35.270360617265418</v>
      </c>
      <c r="S52" s="95">
        <f>H52/'Population Figures'!AB37*1000</f>
        <v>34.305259916730257</v>
      </c>
      <c r="T52" s="93">
        <f>I52/'Population Figures'!AE37*1000</f>
        <v>32.535746653257739</v>
      </c>
      <c r="U52" s="95">
        <f>J52/'Population Figures'!AH37*1000</f>
        <v>32.106051357008731</v>
      </c>
      <c r="V52" s="95">
        <f>K52/'Population Figures'!AK37*1000</f>
        <v>31.24777336380318</v>
      </c>
    </row>
    <row r="53" spans="1:23" ht="12" customHeight="1"/>
    <row r="54" spans="1:23" ht="12" customHeight="1">
      <c r="J54" s="11"/>
      <c r="K54" s="11"/>
      <c r="Q54" t="s">
        <v>68</v>
      </c>
      <c r="R54" s="90"/>
      <c r="S54" s="90">
        <f>MIN($V$20:$V$51)</f>
        <v>21.199915200339198</v>
      </c>
      <c r="T54" s="90"/>
      <c r="U54" s="90"/>
      <c r="V54" s="90"/>
      <c r="W54" s="90"/>
    </row>
    <row r="55" spans="1:23" ht="12" customHeight="1">
      <c r="Q55" t="s">
        <v>69</v>
      </c>
      <c r="R55" s="90"/>
      <c r="S55" s="90">
        <f>MAX($V$20:$V$51)</f>
        <v>43.336944745395449</v>
      </c>
      <c r="T55" s="90"/>
      <c r="U55" s="90"/>
      <c r="V55" s="90"/>
      <c r="W55" s="90"/>
    </row>
    <row r="56" spans="1:23" ht="12" customHeight="1">
      <c r="A56" s="1" t="s">
        <v>93</v>
      </c>
    </row>
    <row r="57" spans="1:23" ht="12" customHeight="1">
      <c r="A57" t="s">
        <v>268</v>
      </c>
    </row>
    <row r="58" spans="1:23" ht="12" customHeight="1">
      <c r="A58" s="85" t="s">
        <v>363</v>
      </c>
      <c r="B58" s="442"/>
      <c r="C58" s="442"/>
      <c r="D58" s="442"/>
      <c r="E58" s="442"/>
    </row>
    <row r="59" spans="1:23" ht="12" customHeight="1">
      <c r="A59" s="85"/>
    </row>
    <row r="60" spans="1:23" ht="12" customHeight="1"/>
    <row r="61" spans="1:23" ht="12" customHeight="1">
      <c r="A61" s="128" t="s">
        <v>156</v>
      </c>
    </row>
    <row r="62" spans="1:23" ht="12" customHeight="1"/>
    <row r="63" spans="1:23" ht="12" customHeight="1">
      <c r="A63" t="s">
        <v>26</v>
      </c>
      <c r="B63" s="421" t="s">
        <v>383</v>
      </c>
      <c r="D63" t="s">
        <v>101</v>
      </c>
    </row>
    <row r="64" spans="1:23">
      <c r="A64" s="3" t="s">
        <v>47</v>
      </c>
      <c r="B64" s="513">
        <v>43.336944745395449</v>
      </c>
      <c r="C64" s="90" t="str">
        <f>IF(A64=Cover!$C$5,B64,"")</f>
        <v/>
      </c>
      <c r="D64" s="391">
        <f>$V$52</f>
        <v>31.24777336380318</v>
      </c>
      <c r="G64" s="90"/>
      <c r="O64" s="90"/>
      <c r="P64" s="90"/>
      <c r="Q64" s="90"/>
    </row>
    <row r="65" spans="1:17">
      <c r="A65" s="3" t="s">
        <v>45</v>
      </c>
      <c r="B65" s="513">
        <v>42.737600708701954</v>
      </c>
      <c r="C65" s="90" t="str">
        <f>IF(A65=Cover!$C$5,B65,"")</f>
        <v/>
      </c>
      <c r="D65" s="391">
        <f t="shared" ref="D65:D95" si="0">$V$52</f>
        <v>31.24777336380318</v>
      </c>
      <c r="G65" s="90"/>
      <c r="O65" s="90"/>
      <c r="P65" s="90"/>
      <c r="Q65" s="90"/>
    </row>
    <row r="66" spans="1:17">
      <c r="A66" s="3" t="s">
        <v>37</v>
      </c>
      <c r="B66" s="513">
        <v>40.703985113971157</v>
      </c>
      <c r="C66" s="90" t="str">
        <f>IF(A66=Cover!$C$5,B66,"")</f>
        <v/>
      </c>
      <c r="D66" s="391">
        <f t="shared" si="0"/>
        <v>31.24777336380318</v>
      </c>
      <c r="G66" s="90"/>
      <c r="O66" s="90"/>
      <c r="P66" s="90"/>
      <c r="Q66" s="90"/>
    </row>
    <row r="67" spans="1:17">
      <c r="A67" s="3" t="s">
        <v>31</v>
      </c>
      <c r="B67" s="513">
        <v>39.403403286535706</v>
      </c>
      <c r="C67" s="90">
        <f>IF(A67=Cover!$C$5,B67,"")</f>
        <v>39.403403286535706</v>
      </c>
      <c r="D67" s="391">
        <f t="shared" si="0"/>
        <v>31.24777336380318</v>
      </c>
      <c r="G67" s="90"/>
      <c r="O67" s="90"/>
      <c r="P67" s="90"/>
      <c r="Q67" s="90"/>
    </row>
    <row r="68" spans="1:17">
      <c r="A68" t="s">
        <v>140</v>
      </c>
      <c r="B68" s="524">
        <v>35.090571610508199</v>
      </c>
      <c r="C68" s="90" t="str">
        <f>IF(A68=Cover!$C$5,B68,"")</f>
        <v/>
      </c>
      <c r="D68" s="391">
        <f t="shared" si="0"/>
        <v>31.24777336380318</v>
      </c>
      <c r="G68" s="90"/>
      <c r="O68" s="90"/>
      <c r="P68" s="90"/>
      <c r="Q68" s="90"/>
    </row>
    <row r="69" spans="1:17">
      <c r="A69" s="3" t="s">
        <v>60</v>
      </c>
      <c r="B69" s="513">
        <v>34.305317324185253</v>
      </c>
      <c r="C69" s="90" t="str">
        <f>IF(A69=Cover!$C$5,B69,"")</f>
        <v/>
      </c>
      <c r="D69" s="391">
        <f t="shared" si="0"/>
        <v>31.24777336380318</v>
      </c>
      <c r="G69" s="90"/>
      <c r="O69" s="90"/>
      <c r="P69" s="90"/>
      <c r="Q69" s="90"/>
    </row>
    <row r="70" spans="1:17">
      <c r="A70" s="3" t="s">
        <v>57</v>
      </c>
      <c r="B70" s="513">
        <v>34.121929026387626</v>
      </c>
      <c r="C70" s="90" t="str">
        <f>IF(A70=Cover!$C$5,B70,"")</f>
        <v/>
      </c>
      <c r="D70" s="391">
        <f t="shared" si="0"/>
        <v>31.24777336380318</v>
      </c>
      <c r="G70" s="90"/>
      <c r="O70" s="90"/>
      <c r="P70" s="90"/>
      <c r="Q70" s="90"/>
    </row>
    <row r="71" spans="1:17">
      <c r="A71" s="3" t="s">
        <v>46</v>
      </c>
      <c r="B71" s="513">
        <v>32.489846922836612</v>
      </c>
      <c r="C71" s="90" t="str">
        <f>IF(A71=Cover!$C$5,B71,"")</f>
        <v/>
      </c>
      <c r="D71" s="391">
        <f t="shared" si="0"/>
        <v>31.24777336380318</v>
      </c>
      <c r="G71" s="90"/>
      <c r="O71" s="90"/>
      <c r="P71" s="90"/>
      <c r="Q71" s="90"/>
    </row>
    <row r="72" spans="1:17">
      <c r="A72" s="3" t="s">
        <v>50</v>
      </c>
      <c r="B72" s="513">
        <v>32.292032292032296</v>
      </c>
      <c r="C72" s="90" t="str">
        <f>IF(A72=Cover!$C$5,B72,"")</f>
        <v/>
      </c>
      <c r="D72" s="391">
        <f t="shared" si="0"/>
        <v>31.24777336380318</v>
      </c>
      <c r="G72" s="90"/>
      <c r="O72" s="90"/>
      <c r="P72" s="90"/>
      <c r="Q72" s="90"/>
    </row>
    <row r="73" spans="1:17">
      <c r="A73" s="3" t="s">
        <v>41</v>
      </c>
      <c r="B73" s="513">
        <v>32.223415682062303</v>
      </c>
      <c r="C73" s="90" t="str">
        <f>IF(A73=Cover!$C$5,B73,"")</f>
        <v/>
      </c>
      <c r="D73" s="391">
        <f t="shared" si="0"/>
        <v>31.24777336380318</v>
      </c>
      <c r="G73" s="90"/>
      <c r="O73" s="90"/>
      <c r="P73" s="90"/>
      <c r="Q73" s="90"/>
    </row>
    <row r="74" spans="1:17">
      <c r="A74" s="3" t="s">
        <v>54</v>
      </c>
      <c r="B74" s="513">
        <v>31.180120311171304</v>
      </c>
      <c r="C74" s="90" t="str">
        <f>IF(A74=Cover!$C$5,B74,"")</f>
        <v/>
      </c>
      <c r="D74" s="391">
        <f t="shared" si="0"/>
        <v>31.24777336380318</v>
      </c>
      <c r="G74" s="90"/>
      <c r="O74" s="90"/>
      <c r="P74" s="90"/>
      <c r="Q74" s="90"/>
    </row>
    <row r="75" spans="1:17">
      <c r="A75" s="3" t="s">
        <v>44</v>
      </c>
      <c r="B75" s="513">
        <v>31.099165529178336</v>
      </c>
      <c r="C75" s="90" t="str">
        <f>IF(A75=Cover!$C$5,B75,"")</f>
        <v/>
      </c>
      <c r="D75" s="391">
        <f t="shared" si="0"/>
        <v>31.24777336380318</v>
      </c>
      <c r="G75" s="90"/>
      <c r="O75" s="90"/>
      <c r="P75" s="90"/>
      <c r="Q75" s="90"/>
    </row>
    <row r="76" spans="1:17">
      <c r="A76" s="3" t="s">
        <v>38</v>
      </c>
      <c r="B76" s="513">
        <v>31.027795733678087</v>
      </c>
      <c r="C76" s="90" t="str">
        <f>IF(A76=Cover!$C$5,B76,"")</f>
        <v/>
      </c>
      <c r="D76" s="391">
        <f t="shared" si="0"/>
        <v>31.24777336380318</v>
      </c>
      <c r="G76" s="90"/>
      <c r="O76" s="90"/>
      <c r="P76" s="90"/>
      <c r="Q76" s="90"/>
    </row>
    <row r="77" spans="1:17">
      <c r="A77" s="3" t="s">
        <v>32</v>
      </c>
      <c r="B77" s="513">
        <v>30.794094522582338</v>
      </c>
      <c r="C77" s="90" t="str">
        <f>IF(A77=Cover!$C$5,B77,"")</f>
        <v/>
      </c>
      <c r="D77" s="391">
        <f t="shared" si="0"/>
        <v>31.24777336380318</v>
      </c>
      <c r="G77" s="90"/>
      <c r="O77" s="90"/>
      <c r="P77" s="90"/>
      <c r="Q77" s="90"/>
    </row>
    <row r="78" spans="1:17">
      <c r="A78" s="3" t="s">
        <v>43</v>
      </c>
      <c r="B78" s="513">
        <v>30.757125996924287</v>
      </c>
      <c r="C78" s="90" t="str">
        <f>IF(A78=Cover!$C$5,B78,"")</f>
        <v/>
      </c>
      <c r="D78" s="391">
        <f t="shared" si="0"/>
        <v>31.24777336380318</v>
      </c>
      <c r="G78" s="90"/>
      <c r="O78" s="90"/>
      <c r="P78" s="90"/>
      <c r="Q78" s="90"/>
    </row>
    <row r="79" spans="1:17">
      <c r="A79" s="3" t="s">
        <v>58</v>
      </c>
      <c r="B79" s="513">
        <v>29.336203305096515</v>
      </c>
      <c r="C79" s="90" t="str">
        <f>IF(A79=Cover!$C$5,B79,"")</f>
        <v/>
      </c>
      <c r="D79" s="391">
        <f t="shared" si="0"/>
        <v>31.24777336380318</v>
      </c>
      <c r="G79" s="90"/>
      <c r="O79" s="90"/>
      <c r="P79" s="90"/>
      <c r="Q79" s="90"/>
    </row>
    <row r="80" spans="1:17">
      <c r="A80" s="3" t="s">
        <v>40</v>
      </c>
      <c r="B80" s="513">
        <v>29.236766516208451</v>
      </c>
      <c r="C80" s="90" t="str">
        <f>IF(A80=Cover!$C$5,B80,"")</f>
        <v/>
      </c>
      <c r="D80" s="391">
        <f t="shared" si="0"/>
        <v>31.24777336380318</v>
      </c>
      <c r="G80" s="90"/>
      <c r="O80" s="90"/>
      <c r="P80" s="90"/>
      <c r="Q80" s="90"/>
    </row>
    <row r="81" spans="1:17">
      <c r="A81" s="3" t="s">
        <v>39</v>
      </c>
      <c r="B81" s="513">
        <v>28.288543140028288</v>
      </c>
      <c r="C81" s="90" t="str">
        <f>IF(A81=Cover!$C$5,B81,"")</f>
        <v/>
      </c>
      <c r="D81" s="391">
        <f t="shared" si="0"/>
        <v>31.24777336380318</v>
      </c>
      <c r="G81" s="90"/>
      <c r="O81" s="90"/>
      <c r="P81" s="90"/>
      <c r="Q81" s="90"/>
    </row>
    <row r="82" spans="1:17">
      <c r="A82" s="3" t="s">
        <v>42</v>
      </c>
      <c r="B82" s="513">
        <v>27.924294135898233</v>
      </c>
      <c r="C82" s="90" t="str">
        <f>IF(A82=Cover!$C$5,B82,"")</f>
        <v/>
      </c>
      <c r="D82" s="391">
        <f t="shared" si="0"/>
        <v>31.24777336380318</v>
      </c>
      <c r="G82" s="90"/>
      <c r="O82" s="90"/>
      <c r="P82" s="90"/>
      <c r="Q82" s="90"/>
    </row>
    <row r="83" spans="1:17">
      <c r="A83" s="3" t="s">
        <v>33</v>
      </c>
      <c r="B83" s="513">
        <v>27.698669683610969</v>
      </c>
      <c r="C83" s="90" t="str">
        <f>IF(A83=Cover!$C$5,B83,"")</f>
        <v/>
      </c>
      <c r="D83" s="391">
        <f t="shared" si="0"/>
        <v>31.24777336380318</v>
      </c>
      <c r="G83" s="90"/>
      <c r="O83" s="90"/>
      <c r="P83" s="90"/>
      <c r="Q83" s="90"/>
    </row>
    <row r="84" spans="1:17">
      <c r="A84" s="3" t="s">
        <v>48</v>
      </c>
      <c r="B84" s="513">
        <v>26.260167808877217</v>
      </c>
      <c r="C84" s="90" t="str">
        <f>IF(A84=Cover!$C$5,B84,"")</f>
        <v/>
      </c>
      <c r="D84" s="391">
        <f t="shared" si="0"/>
        <v>31.24777336380318</v>
      </c>
      <c r="G84" s="90"/>
      <c r="O84" s="90"/>
      <c r="P84" s="90"/>
      <c r="Q84" s="90"/>
    </row>
    <row r="85" spans="1:17">
      <c r="A85" s="3" t="s">
        <v>59</v>
      </c>
      <c r="B85" s="513">
        <v>26.072529035316428</v>
      </c>
      <c r="C85" s="90" t="str">
        <f>IF(A85=Cover!$C$5,B85,"")</f>
        <v/>
      </c>
      <c r="D85" s="391">
        <f t="shared" si="0"/>
        <v>31.24777336380318</v>
      </c>
      <c r="G85" s="90"/>
      <c r="O85" s="90"/>
      <c r="P85" s="90"/>
      <c r="Q85" s="90"/>
    </row>
    <row r="86" spans="1:17">
      <c r="A86" s="3" t="s">
        <v>49</v>
      </c>
      <c r="B86" s="513">
        <v>25.789473684210524</v>
      </c>
      <c r="C86" s="90" t="str">
        <f>IF(A86=Cover!$C$5,B86,"")</f>
        <v/>
      </c>
      <c r="D86" s="391">
        <f t="shared" si="0"/>
        <v>31.24777336380318</v>
      </c>
      <c r="G86" s="90"/>
      <c r="O86" s="90"/>
      <c r="P86" s="90"/>
      <c r="Q86" s="90"/>
    </row>
    <row r="87" spans="1:17">
      <c r="A87" s="3" t="s">
        <v>36</v>
      </c>
      <c r="B87" s="513">
        <v>25.723472668810288</v>
      </c>
      <c r="C87" s="90" t="str">
        <f>IF(A87=Cover!$C$5,B87,"")</f>
        <v/>
      </c>
      <c r="D87" s="391">
        <f t="shared" si="0"/>
        <v>31.24777336380318</v>
      </c>
      <c r="G87" s="90"/>
      <c r="O87" s="90"/>
      <c r="P87" s="90"/>
      <c r="Q87" s="90"/>
    </row>
    <row r="88" spans="1:17">
      <c r="A88" s="3" t="s">
        <v>61</v>
      </c>
      <c r="B88" s="513">
        <v>25.064504238849985</v>
      </c>
      <c r="C88" s="90" t="str">
        <f>IF(A88=Cover!$C$5,B88,"")</f>
        <v/>
      </c>
      <c r="D88" s="391">
        <f t="shared" si="0"/>
        <v>31.24777336380318</v>
      </c>
      <c r="G88" s="90"/>
      <c r="O88" s="90"/>
      <c r="P88" s="90"/>
      <c r="Q88" s="90"/>
    </row>
    <row r="89" spans="1:17">
      <c r="A89" s="3" t="s">
        <v>55</v>
      </c>
      <c r="B89" s="513">
        <v>24.685731647107971</v>
      </c>
      <c r="C89" s="90" t="str">
        <f>IF(A89=Cover!$C$5,B89,"")</f>
        <v/>
      </c>
      <c r="D89" s="391">
        <f t="shared" si="0"/>
        <v>31.24777336380318</v>
      </c>
      <c r="G89" s="90"/>
      <c r="O89" s="90"/>
      <c r="P89" s="90"/>
      <c r="Q89" s="90"/>
    </row>
    <row r="90" spans="1:17">
      <c r="A90" s="3" t="s">
        <v>53</v>
      </c>
      <c r="B90" s="513">
        <v>24.295731332267192</v>
      </c>
      <c r="C90" s="90" t="str">
        <f>IF(A90=Cover!$C$5,B90,"")</f>
        <v/>
      </c>
      <c r="D90" s="391">
        <f t="shared" si="0"/>
        <v>31.24777336380318</v>
      </c>
      <c r="G90" s="90"/>
      <c r="O90" s="90"/>
      <c r="P90" s="90"/>
      <c r="Q90" s="90"/>
    </row>
    <row r="91" spans="1:17">
      <c r="A91" s="3" t="s">
        <v>34</v>
      </c>
      <c r="B91" s="513">
        <v>24.156877605153465</v>
      </c>
      <c r="C91" s="90" t="str">
        <f>IF(A91=Cover!$C$5,B91,"")</f>
        <v/>
      </c>
      <c r="D91" s="391">
        <f t="shared" si="0"/>
        <v>31.24777336380318</v>
      </c>
      <c r="G91" s="90"/>
      <c r="O91" s="90"/>
      <c r="P91" s="90"/>
      <c r="Q91" s="90"/>
    </row>
    <row r="92" spans="1:17">
      <c r="A92" s="3" t="s">
        <v>56</v>
      </c>
      <c r="B92" s="513">
        <v>23.629489603024574</v>
      </c>
      <c r="C92" s="90" t="str">
        <f>IF(A92=Cover!$C$5,B92,"")</f>
        <v/>
      </c>
      <c r="D92" s="391">
        <f t="shared" si="0"/>
        <v>31.24777336380318</v>
      </c>
      <c r="G92" s="90"/>
      <c r="O92" s="90"/>
      <c r="P92" s="90"/>
      <c r="Q92" s="90"/>
    </row>
    <row r="93" spans="1:17">
      <c r="A93" s="3" t="s">
        <v>51</v>
      </c>
      <c r="B93" s="513">
        <v>23.54358300481822</v>
      </c>
      <c r="C93" s="90" t="str">
        <f>IF(A93=Cover!$C$5,B93,"")</f>
        <v/>
      </c>
      <c r="D93" s="391">
        <f t="shared" si="0"/>
        <v>31.24777336380318</v>
      </c>
      <c r="G93" s="90"/>
      <c r="O93" s="90"/>
      <c r="P93" s="90"/>
      <c r="Q93" s="90"/>
    </row>
    <row r="94" spans="1:17">
      <c r="A94" s="3" t="s">
        <v>35</v>
      </c>
      <c r="B94" s="513">
        <v>21.438525029477972</v>
      </c>
      <c r="C94" s="90" t="str">
        <f>IF(A94=Cover!$C$5,B94,"")</f>
        <v/>
      </c>
      <c r="D94" s="391">
        <f t="shared" si="0"/>
        <v>31.24777336380318</v>
      </c>
      <c r="G94" s="90"/>
      <c r="O94" s="90"/>
      <c r="P94" s="90"/>
      <c r="Q94" s="90"/>
    </row>
    <row r="95" spans="1:17">
      <c r="A95" s="3" t="s">
        <v>52</v>
      </c>
      <c r="B95" s="513">
        <v>21.199915200339198</v>
      </c>
      <c r="C95" s="90" t="str">
        <f>IF(A95=Cover!$C$5,B95,"")</f>
        <v/>
      </c>
      <c r="D95" s="391">
        <f t="shared" si="0"/>
        <v>31.24777336380318</v>
      </c>
      <c r="G95" s="90"/>
      <c r="O95" s="90"/>
      <c r="P95" s="90"/>
      <c r="Q95" s="90"/>
    </row>
    <row r="96" spans="1:17">
      <c r="A96" s="3"/>
      <c r="B96" s="513"/>
      <c r="C96" s="90"/>
      <c r="D96" s="391"/>
    </row>
    <row r="98" spans="1:22">
      <c r="Q98" s="3"/>
      <c r="R98" s="3"/>
      <c r="S98" s="3"/>
      <c r="T98" s="3"/>
      <c r="U98" s="3"/>
      <c r="V98" s="3"/>
    </row>
    <row r="99" spans="1:22">
      <c r="A99" s="1" t="s">
        <v>111</v>
      </c>
      <c r="Q99" s="3"/>
      <c r="R99" s="129"/>
      <c r="S99" s="3"/>
      <c r="T99" s="3"/>
      <c r="U99" s="3"/>
      <c r="V99" s="3"/>
    </row>
    <row r="100" spans="1:22">
      <c r="A100" s="1"/>
      <c r="R100" s="493"/>
    </row>
    <row r="101" spans="1:22">
      <c r="B101" s="396" t="s">
        <v>119</v>
      </c>
      <c r="C101" s="394"/>
      <c r="D101" s="394"/>
      <c r="E101" s="394"/>
      <c r="F101" s="394"/>
      <c r="G101" s="394"/>
      <c r="H101" s="394"/>
      <c r="I101" s="394"/>
      <c r="J101" s="395"/>
      <c r="K101" s="394"/>
      <c r="L101" s="396" t="s">
        <v>118</v>
      </c>
      <c r="M101" s="394"/>
      <c r="N101" s="394"/>
      <c r="O101" s="394"/>
      <c r="P101" s="394"/>
      <c r="Q101" s="394"/>
      <c r="R101" s="479"/>
      <c r="S101" s="395"/>
      <c r="T101" s="101"/>
      <c r="U101" s="101"/>
      <c r="V101" s="101"/>
    </row>
    <row r="102" spans="1:22" s="97" customFormat="1">
      <c r="A102" s="98" t="s">
        <v>26</v>
      </c>
      <c r="B102" s="99">
        <v>2007</v>
      </c>
      <c r="C102" s="99">
        <v>2008</v>
      </c>
      <c r="D102" s="99">
        <v>2009</v>
      </c>
      <c r="E102" s="99">
        <v>2010</v>
      </c>
      <c r="F102" s="392">
        <v>2011</v>
      </c>
      <c r="G102" s="471">
        <v>2012</v>
      </c>
      <c r="H102" s="567">
        <v>2013</v>
      </c>
      <c r="I102" s="596">
        <v>2014</v>
      </c>
      <c r="J102" s="104">
        <v>2015</v>
      </c>
      <c r="K102" s="107">
        <v>2007</v>
      </c>
      <c r="L102" s="92">
        <v>2008</v>
      </c>
      <c r="M102" s="92">
        <v>2009</v>
      </c>
      <c r="N102" s="92">
        <v>2010</v>
      </c>
      <c r="O102" s="92">
        <v>2011</v>
      </c>
      <c r="P102" s="492">
        <v>2012</v>
      </c>
      <c r="Q102" s="92">
        <v>2013</v>
      </c>
      <c r="R102" s="92">
        <v>2014</v>
      </c>
      <c r="S102" s="92">
        <v>2015</v>
      </c>
      <c r="T102" s="494"/>
      <c r="V102" s="594"/>
    </row>
    <row r="103" spans="1:22" ht="12.75" customHeight="1">
      <c r="A103" s="91" t="s">
        <v>31</v>
      </c>
      <c r="B103" s="78">
        <v>22831</v>
      </c>
      <c r="C103" s="78">
        <v>17414</v>
      </c>
      <c r="D103" s="78">
        <v>15176.45</v>
      </c>
      <c r="E103" s="404">
        <v>15598.33</v>
      </c>
      <c r="F103" s="399">
        <v>16230.4</v>
      </c>
      <c r="G103" s="399">
        <v>16499</v>
      </c>
      <c r="H103" s="525">
        <v>14800</v>
      </c>
      <c r="I103" s="525">
        <v>18500</v>
      </c>
      <c r="J103" s="525">
        <v>17900</v>
      </c>
      <c r="K103" s="102">
        <f>B103/'Population Figures'!P5*1000</f>
        <v>707.49922528664399</v>
      </c>
      <c r="L103" s="93">
        <f>C103/'Population Figures'!S5*1000</f>
        <v>540.89144277061655</v>
      </c>
      <c r="M103" s="93">
        <f>D103/'Population Figures'!V5*1000</f>
        <v>471.42080576522847</v>
      </c>
      <c r="N103" s="93">
        <f>E103/'Population Figures'!Y5*1000</f>
        <v>485.85360535742097</v>
      </c>
      <c r="O103" s="93">
        <f>F103/'Population Figures'!AB5*1000</f>
        <v>503.28382275419392</v>
      </c>
      <c r="P103" s="93">
        <f>G103/'Population Figures'!AE5*1000</f>
        <v>497.46728577458845</v>
      </c>
      <c r="Q103" s="93">
        <f>H103/'Population Figures'!AH5*1000</f>
        <v>438.99979236496307</v>
      </c>
      <c r="R103" s="93">
        <f>I103/'Population Figures'!AK5*1000</f>
        <v>539.97256355623017</v>
      </c>
      <c r="S103" s="93">
        <f>J103/'Population Figures'!AK5*1000</f>
        <v>522.45993987332542</v>
      </c>
      <c r="T103" s="129"/>
    </row>
    <row r="104" spans="1:22">
      <c r="A104" s="91" t="s">
        <v>32</v>
      </c>
      <c r="B104" s="78">
        <v>22619</v>
      </c>
      <c r="C104" s="78">
        <v>22331</v>
      </c>
      <c r="D104" s="78">
        <v>21452.33</v>
      </c>
      <c r="E104" s="404">
        <v>19530.419999999998</v>
      </c>
      <c r="F104" s="399">
        <v>14759.05</v>
      </c>
      <c r="G104" s="399">
        <v>15340</v>
      </c>
      <c r="H104" s="525">
        <v>17200</v>
      </c>
      <c r="I104" s="525">
        <v>18100</v>
      </c>
      <c r="J104" s="525">
        <v>18000</v>
      </c>
      <c r="K104" s="102">
        <f>B104/'Population Figures'!P6*1000</f>
        <v>605.46603137212912</v>
      </c>
      <c r="L104" s="93">
        <f>C104/'Population Figures'!S6*1000</f>
        <v>583.48139632107018</v>
      </c>
      <c r="M104" s="93">
        <f>D104/'Population Figures'!V6*1000</f>
        <v>547.33709241210397</v>
      </c>
      <c r="N104" s="93">
        <f>E104/'Population Figures'!Y6*1000</f>
        <v>487.99210434261153</v>
      </c>
      <c r="O104" s="93">
        <f>F104/'Population Figures'!AB6*1000</f>
        <v>358.83032262770172</v>
      </c>
      <c r="P104" s="93">
        <f>G104/'Population Figures'!AE6*1000</f>
        <v>357.38415301819538</v>
      </c>
      <c r="Q104" s="93">
        <f>H104/'Population Figures'!AH6*1000</f>
        <v>387.56196484903109</v>
      </c>
      <c r="R104" s="93">
        <f>I104/'Population Figures'!AK6*1000</f>
        <v>395.30007862322003</v>
      </c>
      <c r="S104" s="93">
        <f>J104/'Population Figures'!AK6*1000</f>
        <v>393.11610028828517</v>
      </c>
      <c r="T104" s="129"/>
    </row>
    <row r="105" spans="1:22">
      <c r="A105" s="91" t="s">
        <v>33</v>
      </c>
      <c r="B105" s="78">
        <v>7288</v>
      </c>
      <c r="C105" s="78">
        <v>6264</v>
      </c>
      <c r="D105" s="78">
        <v>6462</v>
      </c>
      <c r="E105" s="404">
        <v>6556.02</v>
      </c>
      <c r="F105" s="399">
        <v>6294.5</v>
      </c>
      <c r="G105" s="399">
        <v>6597</v>
      </c>
      <c r="H105" s="525">
        <v>6200</v>
      </c>
      <c r="I105" s="525">
        <v>20500</v>
      </c>
      <c r="J105" s="525">
        <v>17300</v>
      </c>
      <c r="K105" s="102">
        <f>B105/'Population Figures'!P7*1000</f>
        <v>345.86180713743357</v>
      </c>
      <c r="L105" s="93">
        <f>C105/'Population Figures'!S7*1000</f>
        <v>290.80779944289691</v>
      </c>
      <c r="M105" s="93">
        <f>D105/'Population Figures'!V7*1000</f>
        <v>294.39635535307519</v>
      </c>
      <c r="N105" s="93">
        <f>E105/'Population Figures'!Y7*1000</f>
        <v>294.07105050686283</v>
      </c>
      <c r="O105" s="93">
        <f>F105/'Population Figures'!AB7*1000</f>
        <v>270.92928162527443</v>
      </c>
      <c r="P105" s="93">
        <f>G105/'Population Figures'!AE7*1000</f>
        <v>272.2208467442436</v>
      </c>
      <c r="Q105" s="93">
        <f>H105/'Population Figures'!AH7*1000</f>
        <v>248.39743589743591</v>
      </c>
      <c r="R105" s="93">
        <f>I105/'Population Figures'!AK7*1000</f>
        <v>799.75032185073928</v>
      </c>
      <c r="S105" s="93">
        <f>J105/'Population Figures'!AK7*1000</f>
        <v>674.91124722038001</v>
      </c>
      <c r="T105" s="129"/>
    </row>
    <row r="106" spans="1:22">
      <c r="A106" s="91" t="s">
        <v>34</v>
      </c>
      <c r="B106" s="78">
        <v>8216</v>
      </c>
      <c r="C106" s="78">
        <v>8577</v>
      </c>
      <c r="D106" s="78">
        <v>7842.9</v>
      </c>
      <c r="E106" s="404">
        <v>8224.06</v>
      </c>
      <c r="F106" s="399">
        <v>8623.6</v>
      </c>
      <c r="G106" s="399">
        <v>9674</v>
      </c>
      <c r="H106" s="525">
        <v>10300</v>
      </c>
      <c r="I106" s="525">
        <v>12300</v>
      </c>
      <c r="J106" s="525">
        <v>12200</v>
      </c>
      <c r="K106" s="102">
        <f>B106/'Population Figures'!P8*1000</f>
        <v>444.0121054907047</v>
      </c>
      <c r="L106" s="93">
        <f>C106/'Population Figures'!S8*1000</f>
        <v>457.26928613317699</v>
      </c>
      <c r="M106" s="93">
        <f>D106/'Population Figures'!V8*1000</f>
        <v>411.6143591896714</v>
      </c>
      <c r="N106" s="93">
        <f>E106/'Population Figures'!Y8*1000</f>
        <v>424.97209590739971</v>
      </c>
      <c r="O106" s="93">
        <f>F106/'Population Figures'!AB8*1000</f>
        <v>442.53091804792945</v>
      </c>
      <c r="P106" s="93">
        <f>G106/'Population Figures'!AE8*1000</f>
        <v>479.98015380798807</v>
      </c>
      <c r="Q106" s="93">
        <f>H106/'Population Figures'!AH8*1000</f>
        <v>499.51503394762364</v>
      </c>
      <c r="R106" s="93">
        <f>I106/'Population Figures'!AK8*1000</f>
        <v>582.60704812428958</v>
      </c>
      <c r="S106" s="93">
        <f>J106/'Population Figures'!AK8*1000</f>
        <v>577.87040545661239</v>
      </c>
      <c r="T106" s="129"/>
    </row>
    <row r="107" spans="1:22">
      <c r="A107" s="91" t="s">
        <v>35</v>
      </c>
      <c r="B107" s="78">
        <v>8196</v>
      </c>
      <c r="C107" s="78">
        <v>8040</v>
      </c>
      <c r="D107" s="78">
        <v>6876.5</v>
      </c>
      <c r="E107" s="404">
        <v>6693.91</v>
      </c>
      <c r="F107" s="399">
        <v>6498.22</v>
      </c>
      <c r="G107" s="399">
        <v>6668</v>
      </c>
      <c r="H107" s="525">
        <v>7200</v>
      </c>
      <c r="I107" s="525">
        <v>7900</v>
      </c>
      <c r="J107" s="525">
        <v>7600</v>
      </c>
      <c r="K107" s="102">
        <f>B107/'Population Figures'!P9*1000</f>
        <v>1083.1240914497157</v>
      </c>
      <c r="L107" s="93">
        <f>C107/'Population Figures'!S9*1000</f>
        <v>1041.31589172387</v>
      </c>
      <c r="M107" s="93">
        <f>D107/'Population Figures'!V9*1000</f>
        <v>873.31724663449324</v>
      </c>
      <c r="N107" s="93">
        <f>E107/'Population Figures'!Y9*1000</f>
        <v>827.32789519218886</v>
      </c>
      <c r="O107" s="93">
        <f>F107/'Population Figures'!AB9*1000</f>
        <v>781.59971133028625</v>
      </c>
      <c r="P107" s="93">
        <f>G107/'Population Figures'!AE9*1000</f>
        <v>763.71549650670022</v>
      </c>
      <c r="Q107" s="93">
        <f>H107/'Population Figures'!AH9*1000</f>
        <v>798.31466903204353</v>
      </c>
      <c r="R107" s="93">
        <f>I107/'Population Figures'!AK9*1000</f>
        <v>846.82173866437995</v>
      </c>
      <c r="S107" s="93">
        <f>J107/'Population Figures'!AK9*1000</f>
        <v>814.66395112016301</v>
      </c>
      <c r="T107" s="129"/>
    </row>
    <row r="108" spans="1:22">
      <c r="A108" s="91" t="s">
        <v>36</v>
      </c>
      <c r="B108" s="78">
        <v>26237</v>
      </c>
      <c r="C108" s="78">
        <v>21167</v>
      </c>
      <c r="D108" s="78">
        <v>20673.77</v>
      </c>
      <c r="E108" s="404">
        <v>34998.160000000003</v>
      </c>
      <c r="F108" s="399">
        <v>31189.07</v>
      </c>
      <c r="G108" s="399">
        <v>43781</v>
      </c>
      <c r="H108" s="525">
        <v>29800</v>
      </c>
      <c r="I108" s="525">
        <v>27000</v>
      </c>
      <c r="J108" s="525">
        <v>39200</v>
      </c>
      <c r="K108" s="102">
        <f>B108/'Population Figures'!P10*1000</f>
        <v>843.95908389089038</v>
      </c>
      <c r="L108" s="93">
        <f>C108/'Population Figures'!S10*1000</f>
        <v>666.44627058341985</v>
      </c>
      <c r="M108" s="93">
        <f>D108/'Population Figures'!V10*1000</f>
        <v>638.25661449167978</v>
      </c>
      <c r="N108" s="93">
        <f>E108/'Population Figures'!Y10*1000</f>
        <v>1065.4254315199855</v>
      </c>
      <c r="O108" s="93">
        <f>F108/'Population Figures'!AB10*1000</f>
        <v>936.49621667067015</v>
      </c>
      <c r="P108" s="93">
        <f>G108/'Population Figures'!AE10*1000</f>
        <v>1275.0014561127614</v>
      </c>
      <c r="Q108" s="93">
        <f>H108/'Population Figures'!AH10*1000</f>
        <v>850.69940051384526</v>
      </c>
      <c r="R108" s="93">
        <f>I108/'Population Figures'!AK10*1000</f>
        <v>754.92800223682366</v>
      </c>
      <c r="S108" s="93">
        <f>J108/'Population Figures'!AK10*1000</f>
        <v>1096.0436180623515</v>
      </c>
      <c r="T108" s="129"/>
    </row>
    <row r="109" spans="1:22">
      <c r="A109" s="91" t="s">
        <v>37</v>
      </c>
      <c r="B109" s="78">
        <v>13037</v>
      </c>
      <c r="C109" s="78">
        <v>14026</v>
      </c>
      <c r="D109" s="78">
        <v>15306.25</v>
      </c>
      <c r="E109" s="404">
        <v>15233.53</v>
      </c>
      <c r="F109" s="399">
        <v>14976.42</v>
      </c>
      <c r="G109" s="399">
        <v>14885</v>
      </c>
      <c r="H109" s="525">
        <v>14700</v>
      </c>
      <c r="I109" s="525">
        <v>17600</v>
      </c>
      <c r="J109" s="525">
        <v>16000</v>
      </c>
      <c r="K109" s="102">
        <f>B109/'Population Figures'!P11*1000</f>
        <v>507.49347969948224</v>
      </c>
      <c r="L109" s="93">
        <f>C109/'Population Figures'!S11*1000</f>
        <v>546.75866370405026</v>
      </c>
      <c r="M109" s="93">
        <f>D109/'Population Figures'!V11*1000</f>
        <v>597.9471052425971</v>
      </c>
      <c r="N109" s="93">
        <f>E109/'Population Figures'!Y11*1000</f>
        <v>593.87665198237892</v>
      </c>
      <c r="O109" s="93">
        <f>F109/'Population Figures'!AB11*1000</f>
        <v>607.36556087273902</v>
      </c>
      <c r="P109" s="93">
        <f>G109/'Population Figures'!AE11*1000</f>
        <v>592.01368174044467</v>
      </c>
      <c r="Q109" s="93">
        <f>H109/'Population Figures'!AH11*1000</f>
        <v>577.76205636127816</v>
      </c>
      <c r="R109" s="93">
        <f>I109/'Population Figures'!AK11*1000</f>
        <v>682.27632191037367</v>
      </c>
      <c r="S109" s="93">
        <f>J109/'Population Figures'!AK11*1000</f>
        <v>620.25120173670336</v>
      </c>
      <c r="T109" s="129"/>
    </row>
    <row r="110" spans="1:22">
      <c r="A110" s="91" t="s">
        <v>38</v>
      </c>
      <c r="B110" s="78">
        <v>25246</v>
      </c>
      <c r="C110" s="78">
        <v>26381</v>
      </c>
      <c r="D110" s="78">
        <v>26241.45</v>
      </c>
      <c r="E110" s="404">
        <v>24513.91</v>
      </c>
      <c r="F110" s="399">
        <v>18897.7</v>
      </c>
      <c r="G110" s="399">
        <v>26673</v>
      </c>
      <c r="H110" s="525">
        <v>18200</v>
      </c>
      <c r="I110" s="525">
        <v>18700</v>
      </c>
      <c r="J110" s="525">
        <v>17900</v>
      </c>
      <c r="K110" s="102">
        <f>B110/'Population Figures'!P12*1000</f>
        <v>1250.2352300302084</v>
      </c>
      <c r="L110" s="93">
        <f>C110/'Population Figures'!S12*1000</f>
        <v>1291.3505311077388</v>
      </c>
      <c r="M110" s="93">
        <f>D110/'Population Figures'!V12*1000</f>
        <v>1263.4304285026481</v>
      </c>
      <c r="N110" s="93">
        <f>E110/'Population Figures'!Y12*1000</f>
        <v>1158.6666351562133</v>
      </c>
      <c r="O110" s="93">
        <f>F110/'Population Figures'!AB12*1000</f>
        <v>881.91618443158495</v>
      </c>
      <c r="P110" s="93">
        <f>G110/'Population Figures'!AE12*1000</f>
        <v>1199.2176962503372</v>
      </c>
      <c r="Q110" s="93">
        <f>H110/'Population Figures'!AH12*1000</f>
        <v>798.35066017458439</v>
      </c>
      <c r="R110" s="93">
        <f>I110/'Population Figures'!AK12*1000</f>
        <v>805.86080586080584</v>
      </c>
      <c r="S110" s="93">
        <f>J110/'Population Figures'!AK12*1000</f>
        <v>771.3854772678302</v>
      </c>
      <c r="T110" s="129"/>
    </row>
    <row r="111" spans="1:22">
      <c r="A111" s="91" t="s">
        <v>39</v>
      </c>
      <c r="B111" s="78">
        <v>13590</v>
      </c>
      <c r="C111" s="78">
        <v>13272</v>
      </c>
      <c r="D111" s="78">
        <v>16375.58</v>
      </c>
      <c r="E111" s="404">
        <v>16566.21</v>
      </c>
      <c r="F111" s="399">
        <v>16919.16</v>
      </c>
      <c r="G111" s="399">
        <v>16731</v>
      </c>
      <c r="H111" s="525">
        <v>17600</v>
      </c>
      <c r="I111" s="525">
        <v>21100</v>
      </c>
      <c r="J111" s="525">
        <v>25400</v>
      </c>
      <c r="K111" s="102">
        <f>B111/'Population Figures'!P13*1000</f>
        <v>727.01011073663938</v>
      </c>
      <c r="L111" s="93">
        <f>C111/'Population Figures'!S13*1000</f>
        <v>697.86518035545271</v>
      </c>
      <c r="M111" s="93">
        <f>D111/'Population Figures'!V13*1000</f>
        <v>843.05910214168034</v>
      </c>
      <c r="N111" s="93">
        <f>E111/'Population Figures'!Y13*1000</f>
        <v>835.74866310160428</v>
      </c>
      <c r="O111" s="93">
        <f>F111/'Population Figures'!AB13*1000</f>
        <v>820.5616179252147</v>
      </c>
      <c r="P111" s="93">
        <f>G111/'Population Figures'!AE13*1000</f>
        <v>779.636533084809</v>
      </c>
      <c r="Q111" s="93">
        <f>H111/'Population Figures'!AH13*1000</f>
        <v>799.85457189601891</v>
      </c>
      <c r="R111" s="93">
        <f>I111/'Population Figures'!AK13*1000</f>
        <v>932.63790664780765</v>
      </c>
      <c r="S111" s="93">
        <f>J111/'Population Figures'!AK13*1000</f>
        <v>1122.7015558698727</v>
      </c>
      <c r="T111" s="129"/>
    </row>
    <row r="112" spans="1:22">
      <c r="A112" s="91" t="s">
        <v>40</v>
      </c>
      <c r="B112" s="78">
        <v>17658</v>
      </c>
      <c r="C112" s="78">
        <v>18945</v>
      </c>
      <c r="D112" s="78">
        <v>16607</v>
      </c>
      <c r="E112" s="404">
        <v>19450.78</v>
      </c>
      <c r="F112" s="399">
        <v>19847</v>
      </c>
      <c r="G112" s="399">
        <v>22166</v>
      </c>
      <c r="H112" s="525">
        <v>21900</v>
      </c>
      <c r="I112" s="525">
        <v>21900</v>
      </c>
      <c r="J112" s="525">
        <v>21500</v>
      </c>
      <c r="K112" s="102">
        <f>B112/'Population Figures'!P14*1000</f>
        <v>1059.6495439270284</v>
      </c>
      <c r="L112" s="93">
        <f>C112/'Population Figures'!S14*1000</f>
        <v>1120.740653099858</v>
      </c>
      <c r="M112" s="93">
        <f>D112/'Population Figures'!V14*1000</f>
        <v>961.77679967568201</v>
      </c>
      <c r="N112" s="93">
        <f>E112/'Population Figures'!Y14*1000</f>
        <v>1109.4444444444443</v>
      </c>
      <c r="O112" s="93">
        <f>F112/'Population Figures'!AB14*1000</f>
        <v>1108.090000558316</v>
      </c>
      <c r="P112" s="93">
        <f>G112/'Population Figures'!AE14*1000</f>
        <v>1193.9671424723942</v>
      </c>
      <c r="Q112" s="93">
        <f>H112/'Population Figures'!AH14*1000</f>
        <v>1146.5968586387435</v>
      </c>
      <c r="R112" s="93">
        <f>I112/'Population Figures'!AK14*1000</f>
        <v>1123.30734509643</v>
      </c>
      <c r="S112" s="93">
        <f>J112/'Population Figures'!AK14*1000</f>
        <v>1102.7903159622488</v>
      </c>
      <c r="T112" s="129"/>
    </row>
    <row r="113" spans="1:20">
      <c r="A113" s="91" t="s">
        <v>41</v>
      </c>
      <c r="B113" s="78">
        <v>6357</v>
      </c>
      <c r="C113" s="78">
        <v>6341</v>
      </c>
      <c r="D113" s="78">
        <v>6865.5</v>
      </c>
      <c r="E113" s="404">
        <v>8076.5</v>
      </c>
      <c r="F113" s="399">
        <v>8347.5</v>
      </c>
      <c r="G113" s="399">
        <v>8627</v>
      </c>
      <c r="H113" s="525">
        <v>12800</v>
      </c>
      <c r="I113" s="525">
        <v>7400</v>
      </c>
      <c r="J113" s="525">
        <v>6100</v>
      </c>
      <c r="K113" s="102">
        <f>B113/'Population Figures'!P15*1000</f>
        <v>413.97499348788745</v>
      </c>
      <c r="L113" s="93">
        <f>C113/'Population Figures'!S15*1000</f>
        <v>406.91779503304883</v>
      </c>
      <c r="M113" s="93">
        <f>D113/'Population Figures'!V15*1000</f>
        <v>432.17298250031473</v>
      </c>
      <c r="N113" s="93">
        <f>E113/'Population Figures'!Y15*1000</f>
        <v>501.67712280265852</v>
      </c>
      <c r="O113" s="93">
        <f>F113/'Population Figures'!AB15*1000</f>
        <v>510.17601760176012</v>
      </c>
      <c r="P113" s="93">
        <f>G113/'Population Figures'!AE15*1000</f>
        <v>510.29220395125998</v>
      </c>
      <c r="Q113" s="93">
        <f>H113/'Population Figures'!AH15*1000</f>
        <v>741.42724745134376</v>
      </c>
      <c r="R113" s="93">
        <f>I113/'Population Figures'!AK15*1000</f>
        <v>418.3390807846684</v>
      </c>
      <c r="S113" s="93">
        <f>J113/'Population Figures'!AK15*1000</f>
        <v>344.84708010628071</v>
      </c>
      <c r="T113" s="129"/>
    </row>
    <row r="114" spans="1:20">
      <c r="A114" s="91" t="s">
        <v>140</v>
      </c>
      <c r="B114" s="78">
        <v>41440</v>
      </c>
      <c r="C114" s="78">
        <v>41307</v>
      </c>
      <c r="D114" s="78">
        <v>38512.197916666686</v>
      </c>
      <c r="E114" s="404">
        <v>44066.559999999998</v>
      </c>
      <c r="F114" s="399">
        <v>44730.76</v>
      </c>
      <c r="G114" s="399">
        <v>44236</v>
      </c>
      <c r="H114" s="525">
        <v>49100</v>
      </c>
      <c r="I114" s="525">
        <v>74500</v>
      </c>
      <c r="J114" s="525">
        <v>72800</v>
      </c>
      <c r="K114" s="102">
        <f>B114/'Population Figures'!P16*1000</f>
        <v>606.09606271573159</v>
      </c>
      <c r="L114" s="93">
        <f>C114/'Population Figures'!S16*1000</f>
        <v>602.05509400961955</v>
      </c>
      <c r="M114" s="93">
        <f>D114/'Population Figures'!V16*1000</f>
        <v>558.43915545308687</v>
      </c>
      <c r="N114" s="93">
        <f>E114/'Population Figures'!Y16*1000</f>
        <v>635.02889340423383</v>
      </c>
      <c r="O114" s="93">
        <f>F114/'Population Figures'!AB16*1000</f>
        <v>649.87302048525351</v>
      </c>
      <c r="P114" s="93">
        <f>G114/'Population Figures'!AE16*1000</f>
        <v>624.02663356280334</v>
      </c>
      <c r="Q114" s="93">
        <f>H114/'Population Figures'!AH16*1000</f>
        <v>679.71648485519688</v>
      </c>
      <c r="R114" s="93">
        <f>I114/'Population Figures'!AK16*1000</f>
        <v>1009.3620019238847</v>
      </c>
      <c r="S114" s="93">
        <f>J114/'Population Figures'!AK16*1000</f>
        <v>986.32958040347387</v>
      </c>
      <c r="T114" s="129"/>
    </row>
    <row r="115" spans="1:20">
      <c r="A115" s="91" t="s">
        <v>42</v>
      </c>
      <c r="B115" s="78">
        <v>5460</v>
      </c>
      <c r="C115" s="78">
        <v>5134</v>
      </c>
      <c r="D115" s="78">
        <v>5261.84</v>
      </c>
      <c r="E115" s="404">
        <v>5794.26</v>
      </c>
      <c r="F115" s="399">
        <v>5120</v>
      </c>
      <c r="G115" s="399">
        <v>5122</v>
      </c>
      <c r="H115" s="525">
        <v>4900</v>
      </c>
      <c r="I115" s="525">
        <v>4700</v>
      </c>
      <c r="J115" s="525">
        <v>4500</v>
      </c>
      <c r="K115" s="102">
        <f>B115/'Population Figures'!P17*1000</f>
        <v>1004.0456050018389</v>
      </c>
      <c r="L115" s="93">
        <f>C115/'Population Figures'!S17*1000</f>
        <v>928.054953000723</v>
      </c>
      <c r="M115" s="93">
        <f>D115/'Population Figures'!V17*1000</f>
        <v>936.93732193732194</v>
      </c>
      <c r="N115" s="93">
        <f>E115/'Population Figures'!Y17*1000</f>
        <v>1022.456326098465</v>
      </c>
      <c r="O115" s="93">
        <f>F115/'Population Figures'!AB17*1000</f>
        <v>850.35708354094004</v>
      </c>
      <c r="P115" s="93">
        <f>G115/'Population Figures'!AE17*1000</f>
        <v>829.33937823834196</v>
      </c>
      <c r="Q115" s="93">
        <f>H115/'Population Figures'!AH17*1000</f>
        <v>781.99808490264923</v>
      </c>
      <c r="R115" s="93">
        <f>I115/'Population Figures'!AK17*1000</f>
        <v>729.13434688178711</v>
      </c>
      <c r="S115" s="93">
        <f>J115/'Population Figures'!AK17*1000</f>
        <v>698.10735339745577</v>
      </c>
      <c r="T115" s="129"/>
    </row>
    <row r="116" spans="1:20">
      <c r="A116" s="91" t="s">
        <v>43</v>
      </c>
      <c r="B116" s="78">
        <v>22037</v>
      </c>
      <c r="C116" s="78">
        <v>22287</v>
      </c>
      <c r="D116" s="78">
        <v>23311</v>
      </c>
      <c r="E116" s="404">
        <v>24293.46</v>
      </c>
      <c r="F116" s="399">
        <v>23398.62</v>
      </c>
      <c r="G116" s="399">
        <v>22505</v>
      </c>
      <c r="H116" s="525">
        <v>20900</v>
      </c>
      <c r="I116" s="525">
        <v>22400</v>
      </c>
      <c r="J116" s="525">
        <v>21700</v>
      </c>
      <c r="K116" s="102">
        <f>B116/'Population Figures'!P18*1000</f>
        <v>924.33203305230484</v>
      </c>
      <c r="L116" s="93">
        <f>C116/'Population Figures'!S18*1000</f>
        <v>918.59698293627901</v>
      </c>
      <c r="M116" s="93">
        <f>D116/'Population Figures'!V18*1000</f>
        <v>945.9097549099173</v>
      </c>
      <c r="N116" s="93">
        <f>E116/'Population Figures'!Y18*1000</f>
        <v>965.67396748419924</v>
      </c>
      <c r="O116" s="93">
        <f>F116/'Population Figures'!AB18*1000</f>
        <v>918.42132119166297</v>
      </c>
      <c r="P116" s="93">
        <f>G116/'Population Figures'!AE18*1000</f>
        <v>850.52910052910056</v>
      </c>
      <c r="Q116" s="93">
        <f>H116/'Population Figures'!AH18*1000</f>
        <v>768.55188644553948</v>
      </c>
      <c r="R116" s="93">
        <f>I116/'Population Figures'!AK18*1000</f>
        <v>801.11583991988846</v>
      </c>
      <c r="S116" s="93">
        <f>J116/'Population Figures'!AK18*1000</f>
        <v>776.080969922392</v>
      </c>
      <c r="T116" s="129"/>
    </row>
    <row r="117" spans="1:20">
      <c r="A117" s="91" t="s">
        <v>44</v>
      </c>
      <c r="B117" s="78">
        <v>68913</v>
      </c>
      <c r="C117" s="78">
        <v>76025</v>
      </c>
      <c r="D117" s="78">
        <v>72858.63</v>
      </c>
      <c r="E117" s="404">
        <v>64938.55</v>
      </c>
      <c r="F117" s="399">
        <v>93609.51</v>
      </c>
      <c r="G117" s="399">
        <v>89067</v>
      </c>
      <c r="H117" s="525">
        <v>51700</v>
      </c>
      <c r="I117" s="525">
        <v>53400</v>
      </c>
      <c r="J117" s="525">
        <v>54200</v>
      </c>
      <c r="K117" s="102">
        <f>B117/'Population Figures'!P19*1000</f>
        <v>1136.2219913933818</v>
      </c>
      <c r="L117" s="93">
        <f>C117/'Population Figures'!S19*1000</f>
        <v>1231.1142778488495</v>
      </c>
      <c r="M117" s="93">
        <f>D117/'Population Figures'!V19*1000</f>
        <v>1157.257695606595</v>
      </c>
      <c r="N117" s="93">
        <f>E117/'Population Figures'!Y19*1000</f>
        <v>1011.2676166004828</v>
      </c>
      <c r="O117" s="93">
        <f>F117/'Population Figures'!AB19*1000</f>
        <v>1449.1309193925415</v>
      </c>
      <c r="P117" s="93">
        <f>G117/'Population Figures'!AE19*1000</f>
        <v>1326.3294268312659</v>
      </c>
      <c r="Q117" s="93">
        <f>H117/'Population Figures'!AH19*1000</f>
        <v>749.10165758664664</v>
      </c>
      <c r="R117" s="93">
        <f>I117/'Population Figures'!AK19*1000</f>
        <v>751.44590011679782</v>
      </c>
      <c r="S117" s="93">
        <f>J117/'Population Figures'!AK19*1000</f>
        <v>762.70351659794835</v>
      </c>
      <c r="T117" s="129"/>
    </row>
    <row r="118" spans="1:20">
      <c r="A118" s="91" t="s">
        <v>45</v>
      </c>
      <c r="B118" s="78">
        <v>83724</v>
      </c>
      <c r="C118" s="78">
        <v>81971</v>
      </c>
      <c r="D118" s="78">
        <v>80049.55</v>
      </c>
      <c r="E118" s="404">
        <v>77804.5</v>
      </c>
      <c r="F118" s="399">
        <v>71170.25</v>
      </c>
      <c r="G118" s="399">
        <v>70656</v>
      </c>
      <c r="H118" s="525">
        <v>62500</v>
      </c>
      <c r="I118" s="525">
        <v>57800</v>
      </c>
      <c r="J118" s="525">
        <v>74900</v>
      </c>
      <c r="K118" s="102">
        <f>B118/'Population Figures'!P20*1000</f>
        <v>1005.6453743964253</v>
      </c>
      <c r="L118" s="93">
        <f>C118/'Population Figures'!S20*1000</f>
        <v>994.41957515983063</v>
      </c>
      <c r="M118" s="93">
        <f>D118/'Population Figures'!V20*1000</f>
        <v>981.67308446973414</v>
      </c>
      <c r="N118" s="93">
        <f>E118/'Population Figures'!Y20*1000</f>
        <v>962.17676811397052</v>
      </c>
      <c r="O118" s="93">
        <f>F118/'Population Figures'!AB20*1000</f>
        <v>865.28127317601002</v>
      </c>
      <c r="P118" s="93">
        <f>G118/'Population Figures'!AE20*1000</f>
        <v>851.70809325200707</v>
      </c>
      <c r="Q118" s="93">
        <f>H118/'Population Figures'!AH20*1000</f>
        <v>751.28319169140889</v>
      </c>
      <c r="R118" s="93">
        <f>I118/'Population Figures'!AK20*1000</f>
        <v>691.94210671231724</v>
      </c>
      <c r="S118" s="93">
        <f>J118/'Population Figures'!AK20*1000</f>
        <v>896.6516227119821</v>
      </c>
      <c r="T118" s="129"/>
    </row>
    <row r="119" spans="1:20">
      <c r="A119" s="91" t="s">
        <v>46</v>
      </c>
      <c r="B119" s="78">
        <v>15134</v>
      </c>
      <c r="C119" s="78">
        <v>12426</v>
      </c>
      <c r="D119" s="78">
        <v>12182.2</v>
      </c>
      <c r="E119" s="404">
        <v>12872.06</v>
      </c>
      <c r="F119" s="399">
        <v>14902.22</v>
      </c>
      <c r="G119" s="399">
        <v>14869</v>
      </c>
      <c r="H119" s="525">
        <v>13300</v>
      </c>
      <c r="I119" s="525">
        <v>14200</v>
      </c>
      <c r="J119" s="525">
        <v>13900</v>
      </c>
      <c r="K119" s="102">
        <f>B119/'Population Figures'!P21*1000</f>
        <v>389.78030751796433</v>
      </c>
      <c r="L119" s="93">
        <f>C119/'Population Figures'!S21*1000</f>
        <v>311.71763289265738</v>
      </c>
      <c r="M119" s="93">
        <f>D119/'Population Figures'!V21*1000</f>
        <v>298.04276557224648</v>
      </c>
      <c r="N119" s="93">
        <f>E119/'Population Figures'!Y21*1000</f>
        <v>308.84543404194056</v>
      </c>
      <c r="O119" s="93">
        <f>F119/'Population Figures'!AB21*1000</f>
        <v>343.17934782608694</v>
      </c>
      <c r="P119" s="93">
        <f>G119/'Population Figures'!AE21*1000</f>
        <v>330.07014739833068</v>
      </c>
      <c r="Q119" s="93">
        <f>H119/'Population Figures'!AH21*1000</f>
        <v>285.76953653767646</v>
      </c>
      <c r="R119" s="93">
        <f>I119/'Population Figures'!AK21*1000</f>
        <v>295.74091429761535</v>
      </c>
      <c r="S119" s="93">
        <f>J119/'Population Figures'!AK21*1000</f>
        <v>289.49286681245445</v>
      </c>
      <c r="T119" s="129"/>
    </row>
    <row r="120" spans="1:20">
      <c r="A120" s="91" t="s">
        <v>47</v>
      </c>
      <c r="B120" s="78">
        <v>14253</v>
      </c>
      <c r="C120" s="78">
        <v>14865</v>
      </c>
      <c r="D120" s="78">
        <v>14860</v>
      </c>
      <c r="E120" s="404">
        <v>14913.2</v>
      </c>
      <c r="F120" s="399">
        <v>11450.24</v>
      </c>
      <c r="G120" s="399">
        <v>11163</v>
      </c>
      <c r="H120" s="525">
        <v>13100</v>
      </c>
      <c r="I120" s="525">
        <v>12600</v>
      </c>
      <c r="J120" s="525">
        <v>16700</v>
      </c>
      <c r="K120" s="102">
        <f>B120/'Population Figures'!P22*1000</f>
        <v>1009.8483774975202</v>
      </c>
      <c r="L120" s="93">
        <f>C120/'Population Figures'!S22*1000</f>
        <v>1044.1837594830008</v>
      </c>
      <c r="M120" s="93">
        <f>D120/'Population Figures'!V22*1000</f>
        <v>1034.5307713728766</v>
      </c>
      <c r="N120" s="93">
        <f>E120/'Population Figures'!Y22*1000</f>
        <v>1032.4125995154031</v>
      </c>
      <c r="O120" s="93">
        <f>F120/'Population Figures'!AB22*1000</f>
        <v>771.73552604974054</v>
      </c>
      <c r="P120" s="93">
        <f>G120/'Population Figures'!AE22*1000</f>
        <v>734.35958160647328</v>
      </c>
      <c r="Q120" s="93">
        <f>H120/'Population Figures'!AH22*1000</f>
        <v>848.99546338302014</v>
      </c>
      <c r="R120" s="93">
        <f>I120/'Population Figures'!AK22*1000</f>
        <v>803.00809381173917</v>
      </c>
      <c r="S120" s="93">
        <f>J120/'Population Figures'!AK22*1000</f>
        <v>1064.3043783060352</v>
      </c>
      <c r="T120" s="129"/>
    </row>
    <row r="121" spans="1:20">
      <c r="A121" s="91" t="s">
        <v>48</v>
      </c>
      <c r="B121" s="78">
        <v>11031</v>
      </c>
      <c r="C121" s="78">
        <v>12829</v>
      </c>
      <c r="D121" s="78">
        <v>12302</v>
      </c>
      <c r="E121" s="404">
        <v>10718.69</v>
      </c>
      <c r="F121" s="399">
        <v>10981.41</v>
      </c>
      <c r="G121" s="399">
        <v>10682</v>
      </c>
      <c r="H121" s="525">
        <v>11300</v>
      </c>
      <c r="I121" s="525">
        <v>9900</v>
      </c>
      <c r="J121" s="525">
        <v>10200</v>
      </c>
      <c r="K121" s="102">
        <f>B121/'Population Figures'!P23*1000</f>
        <v>863.68618853742566</v>
      </c>
      <c r="L121" s="93">
        <f>C121/'Population Figures'!S23*1000</f>
        <v>988.82380144905187</v>
      </c>
      <c r="M121" s="93">
        <f>D121/'Population Figures'!V23*1000</f>
        <v>927.33303181064377</v>
      </c>
      <c r="N121" s="93">
        <f>E121/'Population Figures'!Y23*1000</f>
        <v>786.00058663929019</v>
      </c>
      <c r="O121" s="93">
        <f>F121/'Population Figures'!AB23*1000</f>
        <v>780.26218559045049</v>
      </c>
      <c r="P121" s="93">
        <f>G121/'Population Figures'!AE23*1000</f>
        <v>726.41958517511057</v>
      </c>
      <c r="Q121" s="93">
        <f>H121/'Population Figures'!AH23*1000</f>
        <v>746.36723910171736</v>
      </c>
      <c r="R121" s="93">
        <f>I121/'Population Figures'!AK23*1000</f>
        <v>634.08697879971817</v>
      </c>
      <c r="S121" s="93">
        <f>J121/'Population Figures'!AK23*1000</f>
        <v>653.30173573304296</v>
      </c>
      <c r="T121" s="129"/>
    </row>
    <row r="122" spans="1:20">
      <c r="A122" s="91" t="s">
        <v>49</v>
      </c>
      <c r="B122" s="78">
        <v>8671</v>
      </c>
      <c r="C122" s="78">
        <v>8378</v>
      </c>
      <c r="D122" s="78">
        <v>12456</v>
      </c>
      <c r="E122" s="404">
        <v>10558.2</v>
      </c>
      <c r="F122" s="399">
        <v>10339.299999999999</v>
      </c>
      <c r="G122" s="399">
        <v>10522</v>
      </c>
      <c r="H122" s="525">
        <v>10500</v>
      </c>
      <c r="I122" s="525">
        <v>12500</v>
      </c>
      <c r="J122" s="525">
        <v>12200</v>
      </c>
      <c r="K122" s="102">
        <f>B122/'Population Figures'!P24*1000</f>
        <v>557.29802686547976</v>
      </c>
      <c r="L122" s="93">
        <f>C122/'Population Figures'!S24*1000</f>
        <v>525.89291318812377</v>
      </c>
      <c r="M122" s="93">
        <f>D122/'Population Figures'!V24*1000</f>
        <v>766.14589740435474</v>
      </c>
      <c r="N122" s="93">
        <f>E122/'Population Figures'!Y24*1000</f>
        <v>636.22777945164205</v>
      </c>
      <c r="O122" s="93">
        <f>F122/'Population Figures'!AB24*1000</f>
        <v>595.2389176741508</v>
      </c>
      <c r="P122" s="93">
        <f>G122/'Population Figures'!AE24*1000</f>
        <v>586.11853832442057</v>
      </c>
      <c r="Q122" s="93">
        <f>H122/'Population Figures'!AH24*1000</f>
        <v>568.15107407607809</v>
      </c>
      <c r="R122" s="93">
        <f>I122/'Population Figures'!AK24*1000</f>
        <v>657.89473684210532</v>
      </c>
      <c r="S122" s="93">
        <f>J122/'Population Figures'!AK24*1000</f>
        <v>642.10526315789468</v>
      </c>
      <c r="T122" s="129"/>
    </row>
    <row r="123" spans="1:20">
      <c r="A123" s="91" t="s">
        <v>50</v>
      </c>
      <c r="B123" s="78">
        <v>10327</v>
      </c>
      <c r="C123" s="78">
        <v>12320</v>
      </c>
      <c r="D123" s="78">
        <v>12991</v>
      </c>
      <c r="E123" s="404">
        <v>11025.37</v>
      </c>
      <c r="F123" s="399">
        <v>11251.01</v>
      </c>
      <c r="G123" s="399">
        <v>25546</v>
      </c>
      <c r="H123" s="525">
        <v>26500</v>
      </c>
      <c r="I123" s="525">
        <v>27000</v>
      </c>
      <c r="J123" s="525">
        <v>25700</v>
      </c>
      <c r="K123" s="102">
        <f>B123/'Population Figures'!P25*1000</f>
        <v>430.7044250740293</v>
      </c>
      <c r="L123" s="93">
        <f>C123/'Population Figures'!S25*1000</f>
        <v>505.06292788914851</v>
      </c>
      <c r="M123" s="93">
        <f>D123/'Population Figures'!V25*1000</f>
        <v>522.48230373230376</v>
      </c>
      <c r="N123" s="93">
        <f>E123/'Population Figures'!Y25*1000</f>
        <v>435.54436280319192</v>
      </c>
      <c r="O123" s="93">
        <f>F123/'Population Figures'!AB25*1000</f>
        <v>431.75141026133008</v>
      </c>
      <c r="P123" s="93">
        <f>G123/'Population Figures'!AE25*1000</f>
        <v>943.28336164241932</v>
      </c>
      <c r="Q123" s="93">
        <f>H123/'Population Figures'!AH25*1000</f>
        <v>952.79185992161945</v>
      </c>
      <c r="R123" s="93">
        <f>I123/'Population Figures'!AK25*1000</f>
        <v>947.70094770094772</v>
      </c>
      <c r="S123" s="93">
        <f>J123/'Population Figures'!AK25*1000</f>
        <v>902.07090207090209</v>
      </c>
      <c r="T123" s="129"/>
    </row>
    <row r="124" spans="1:20">
      <c r="A124" s="91" t="s">
        <v>51</v>
      </c>
      <c r="B124" s="78">
        <v>35053</v>
      </c>
      <c r="C124" s="78">
        <v>33813</v>
      </c>
      <c r="D124" s="78">
        <v>34833</v>
      </c>
      <c r="E124" s="404">
        <v>34911.25</v>
      </c>
      <c r="F124" s="399">
        <v>29973.75</v>
      </c>
      <c r="G124" s="399">
        <v>27409</v>
      </c>
      <c r="H124" s="525">
        <v>27400</v>
      </c>
      <c r="I124" s="525">
        <v>29800</v>
      </c>
      <c r="J124" s="525">
        <v>32000</v>
      </c>
      <c r="K124" s="102">
        <f>B124/'Population Figures'!P26*1000</f>
        <v>738.5954192039444</v>
      </c>
      <c r="L124" s="93">
        <f>C124/'Population Figures'!S26*1000</f>
        <v>701.64553547342871</v>
      </c>
      <c r="M124" s="93">
        <f>D124/'Population Figures'!V26*1000</f>
        <v>709.5308903509665</v>
      </c>
      <c r="N124" s="93">
        <f>E124/'Population Figures'!Y26*1000</f>
        <v>703.81327742273663</v>
      </c>
      <c r="O124" s="93">
        <f>F124/'Population Figures'!AB26*1000</f>
        <v>590.60412602707333</v>
      </c>
      <c r="P124" s="93">
        <f>G124/'Population Figures'!AE26*1000</f>
        <v>523.83227581989149</v>
      </c>
      <c r="Q124" s="93">
        <f>H124/'Population Figures'!AH26*1000</f>
        <v>512.02511539252146</v>
      </c>
      <c r="R124" s="93">
        <f>I124/'Population Figures'!AK26*1000</f>
        <v>543.8750182508395</v>
      </c>
      <c r="S124" s="93">
        <f>J124/'Population Figures'!AK26*1000</f>
        <v>584.02686523580087</v>
      </c>
      <c r="T124" s="129"/>
    </row>
    <row r="125" spans="1:20">
      <c r="A125" s="91" t="s">
        <v>52</v>
      </c>
      <c r="B125" s="78">
        <v>2248</v>
      </c>
      <c r="C125" s="78">
        <v>2194</v>
      </c>
      <c r="D125" s="78">
        <v>1886.07</v>
      </c>
      <c r="E125" s="404">
        <v>1819.03</v>
      </c>
      <c r="F125" s="399">
        <v>1581.62</v>
      </c>
      <c r="G125" s="399">
        <v>1536</v>
      </c>
      <c r="H125" s="525">
        <v>1500</v>
      </c>
      <c r="I125" s="525">
        <v>2600</v>
      </c>
      <c r="J125" s="525">
        <v>2500</v>
      </c>
      <c r="K125" s="102">
        <f>B125/'Population Figures'!P27*1000</f>
        <v>608.06058966729779</v>
      </c>
      <c r="L125" s="93">
        <f>C125/'Population Figures'!S27*1000</f>
        <v>579.5034337031168</v>
      </c>
      <c r="M125" s="93">
        <f>D125/'Population Figures'!V27*1000</f>
        <v>484.85089974293055</v>
      </c>
      <c r="N125" s="93">
        <f>E125/'Population Figures'!Y27*1000</f>
        <v>456.58383534136544</v>
      </c>
      <c r="O125" s="93">
        <f>F125/'Population Figures'!AB27*1000</f>
        <v>370.48957601311781</v>
      </c>
      <c r="P125" s="93">
        <f>G125/'Population Figures'!AE27*1000</f>
        <v>345.16853932584269</v>
      </c>
      <c r="Q125" s="93">
        <f>H125/'Population Figures'!AH27*1000</f>
        <v>328.94736842105266</v>
      </c>
      <c r="R125" s="93">
        <f>I125/'Population Figures'!AK27*1000</f>
        <v>551.19779520881923</v>
      </c>
      <c r="S125" s="93">
        <f>J125/'Population Figures'!AK27*1000</f>
        <v>529.99788000847991</v>
      </c>
      <c r="T125" s="129"/>
    </row>
    <row r="126" spans="1:20">
      <c r="A126" s="91" t="s">
        <v>53</v>
      </c>
      <c r="B126" s="78">
        <v>8593</v>
      </c>
      <c r="C126" s="78">
        <v>8903</v>
      </c>
      <c r="D126" s="78">
        <v>9015</v>
      </c>
      <c r="E126" s="404">
        <v>11606.65</v>
      </c>
      <c r="F126" s="399">
        <v>11907.07</v>
      </c>
      <c r="G126" s="399">
        <v>10717</v>
      </c>
      <c r="H126" s="525">
        <v>9400</v>
      </c>
      <c r="I126" s="525">
        <v>10600</v>
      </c>
      <c r="J126" s="525">
        <v>10600</v>
      </c>
      <c r="K126" s="102">
        <f>B126/'Population Figures'!P28*1000</f>
        <v>312.84814504678343</v>
      </c>
      <c r="L126" s="93">
        <f>C126/'Population Figures'!S28*1000</f>
        <v>317.952930252491</v>
      </c>
      <c r="M126" s="93">
        <f>D126/'Population Figures'!V28*1000</f>
        <v>316.3268886627601</v>
      </c>
      <c r="N126" s="93">
        <f>E126/'Population Figures'!Y28*1000</f>
        <v>398.75803071426111</v>
      </c>
      <c r="O126" s="93">
        <f>F126/'Population Figures'!AB28*1000</f>
        <v>399.03049597855227</v>
      </c>
      <c r="P126" s="93">
        <f>G126/'Population Figures'!AE28*1000</f>
        <v>346.0110418751816</v>
      </c>
      <c r="Q126" s="93">
        <f>H126/'Population Figures'!AH28*1000</f>
        <v>296.20293051835512</v>
      </c>
      <c r="R126" s="93">
        <f>I126/'Population Figures'!AK28*1000</f>
        <v>325.9933571164965</v>
      </c>
      <c r="S126" s="93">
        <f>J126/'Population Figures'!AK28*1000</f>
        <v>325.9933571164965</v>
      </c>
      <c r="T126" s="129"/>
    </row>
    <row r="127" spans="1:20">
      <c r="A127" s="91" t="s">
        <v>54</v>
      </c>
      <c r="B127" s="78">
        <v>16918</v>
      </c>
      <c r="C127" s="78">
        <v>14654</v>
      </c>
      <c r="D127" s="78">
        <v>14275.63</v>
      </c>
      <c r="E127" s="404">
        <v>12673.43</v>
      </c>
      <c r="F127" s="399">
        <v>27770.11</v>
      </c>
      <c r="G127" s="399">
        <v>28452</v>
      </c>
      <c r="H127" s="525">
        <v>29100</v>
      </c>
      <c r="I127" s="525">
        <v>30100</v>
      </c>
      <c r="J127" s="525">
        <v>34600</v>
      </c>
      <c r="K127" s="102">
        <f>B127/'Population Figures'!P29*1000</f>
        <v>615.40140409588594</v>
      </c>
      <c r="L127" s="93">
        <f>C127/'Population Figures'!S29*1000</f>
        <v>527.12230215827333</v>
      </c>
      <c r="M127" s="93">
        <f>D127/'Population Figures'!V29*1000</f>
        <v>506.12032900801239</v>
      </c>
      <c r="N127" s="93">
        <f>E127/'Population Figures'!Y29*1000</f>
        <v>445.98057500791782</v>
      </c>
      <c r="O127" s="93">
        <f>F127/'Population Figures'!AB29*1000</f>
        <v>936.97651663405088</v>
      </c>
      <c r="P127" s="93">
        <f>G127/'Population Figures'!AE29*1000</f>
        <v>930.80773383060171</v>
      </c>
      <c r="Q127" s="93">
        <f>H127/'Population Figures'!AH29*1000</f>
        <v>936.50436069899911</v>
      </c>
      <c r="R127" s="93">
        <f>I127/'Population Figures'!AK29*1000</f>
        <v>948.0016377436931</v>
      </c>
      <c r="S127" s="93">
        <f>J127/'Population Figures'!AK29*1000</f>
        <v>1089.7294573399263</v>
      </c>
      <c r="T127" s="129"/>
    </row>
    <row r="128" spans="1:20">
      <c r="A128" s="91" t="s">
        <v>55</v>
      </c>
      <c r="B128" s="78">
        <v>9326</v>
      </c>
      <c r="C128" s="78">
        <v>9141</v>
      </c>
      <c r="D128" s="78">
        <v>10172</v>
      </c>
      <c r="E128" s="404">
        <v>10876.49</v>
      </c>
      <c r="F128" s="399">
        <v>9899.91</v>
      </c>
      <c r="G128" s="399">
        <v>10710</v>
      </c>
      <c r="H128" s="525">
        <v>9900</v>
      </c>
      <c r="I128" s="525">
        <v>9200</v>
      </c>
      <c r="J128" s="525">
        <v>8400</v>
      </c>
      <c r="K128" s="102">
        <f>B128/'Population Figures'!P30*1000</f>
        <v>432.94183185553129</v>
      </c>
      <c r="L128" s="93">
        <f>C128/'Population Figures'!S30*1000</f>
        <v>415.51888722214647</v>
      </c>
      <c r="M128" s="93">
        <f>D128/'Population Figures'!V30*1000</f>
        <v>451.84790334044067</v>
      </c>
      <c r="N128" s="93">
        <f>E128/'Population Figures'!Y30*1000</f>
        <v>475.3710664335664</v>
      </c>
      <c r="O128" s="93">
        <f>F128/'Population Figures'!AB30*1000</f>
        <v>413.18489148580966</v>
      </c>
      <c r="P128" s="93">
        <f>G128/'Population Figures'!AE30*1000</f>
        <v>429.49951876804619</v>
      </c>
      <c r="Q128" s="93">
        <f>H128/'Population Figures'!AH30*1000</f>
        <v>385.18403237102171</v>
      </c>
      <c r="R128" s="93">
        <f>I128/'Population Figures'!AK30*1000</f>
        <v>349.39804792829744</v>
      </c>
      <c r="S128" s="93">
        <f>J128/'Population Figures'!AK30*1000</f>
        <v>319.01560897801073</v>
      </c>
      <c r="T128" s="129"/>
    </row>
    <row r="129" spans="1:23">
      <c r="A129" s="91" t="s">
        <v>56</v>
      </c>
      <c r="B129" s="78">
        <v>2854</v>
      </c>
      <c r="C129" s="78">
        <v>2870</v>
      </c>
      <c r="D129" s="78">
        <v>3075</v>
      </c>
      <c r="E129" s="404">
        <v>3274.5</v>
      </c>
      <c r="F129" s="399">
        <v>3770.75</v>
      </c>
      <c r="G129" s="399">
        <v>3089</v>
      </c>
      <c r="H129" s="525">
        <v>2700</v>
      </c>
      <c r="I129" s="525">
        <v>2300</v>
      </c>
      <c r="J129" s="525">
        <v>2600</v>
      </c>
      <c r="K129" s="102">
        <f>B129/'Population Figures'!P31*1000</f>
        <v>815.42857142857144</v>
      </c>
      <c r="L129" s="93">
        <f>C129/'Population Figures'!S31*1000</f>
        <v>792.81767955801104</v>
      </c>
      <c r="M129" s="93">
        <f>D129/'Population Figures'!V31*1000</f>
        <v>826.61290322580646</v>
      </c>
      <c r="N129" s="93">
        <f>E129/'Population Figures'!Y31*1000</f>
        <v>863.07327358987868</v>
      </c>
      <c r="O129" s="93">
        <f>F129/'Population Figures'!AB31*1000</f>
        <v>993.34826132771332</v>
      </c>
      <c r="P129" s="93">
        <f>G129/'Population Figures'!AE31*1000</f>
        <v>775.74083375188354</v>
      </c>
      <c r="Q129" s="93">
        <f>H129/'Population Figures'!AH31*1000</f>
        <v>658.05508164757498</v>
      </c>
      <c r="R129" s="93">
        <f>I129/'Population Figures'!AK31*1000</f>
        <v>543.47826086956513</v>
      </c>
      <c r="S129" s="93">
        <f>J129/'Population Figures'!AK31*1000</f>
        <v>614.36672967863888</v>
      </c>
      <c r="T129" s="129"/>
      <c r="U129" s="90"/>
      <c r="V129" s="90"/>
    </row>
    <row r="130" spans="1:23">
      <c r="A130" s="91" t="s">
        <v>57</v>
      </c>
      <c r="B130" s="78">
        <v>32753</v>
      </c>
      <c r="C130" s="78">
        <v>35859</v>
      </c>
      <c r="D130" s="78">
        <v>36791.26</v>
      </c>
      <c r="E130" s="404">
        <v>37166.589999999997</v>
      </c>
      <c r="F130" s="399">
        <v>39957.43</v>
      </c>
      <c r="G130" s="399">
        <v>37689</v>
      </c>
      <c r="H130" s="525">
        <v>25400</v>
      </c>
      <c r="I130" s="525">
        <v>21800</v>
      </c>
      <c r="J130" s="525">
        <v>18400</v>
      </c>
      <c r="K130" s="102">
        <f>B130/'Population Figures'!P32*1000</f>
        <v>1438.0488233227959</v>
      </c>
      <c r="L130" s="93">
        <f>C130/'Population Figures'!S32*1000</f>
        <v>1548.8510711817553</v>
      </c>
      <c r="M130" s="93">
        <f>D130/'Population Figures'!V32*1000</f>
        <v>1569.191333276465</v>
      </c>
      <c r="N130" s="93">
        <f>E130/'Population Figures'!Y32*1000</f>
        <v>1562.4748812376508</v>
      </c>
      <c r="O130" s="93">
        <f>F130/'Population Figures'!AB32*1000</f>
        <v>1635.7225315212052</v>
      </c>
      <c r="P130" s="93">
        <f>G130/'Population Figures'!AE32*1000</f>
        <v>1492.1018250920463</v>
      </c>
      <c r="Q130" s="93">
        <f>H130/'Population Figures'!AH32*1000</f>
        <v>983.58116480793058</v>
      </c>
      <c r="R130" s="93">
        <f>I130/'Population Figures'!AK32*1000</f>
        <v>826.50894752805584</v>
      </c>
      <c r="S130" s="93">
        <f>J130/'Population Figures'!AK32*1000</f>
        <v>697.60388231725813</v>
      </c>
      <c r="T130" s="129"/>
      <c r="U130" s="90"/>
      <c r="V130" s="90"/>
      <c r="W130" s="90"/>
    </row>
    <row r="131" spans="1:23">
      <c r="A131" s="91" t="s">
        <v>58</v>
      </c>
      <c r="B131" s="78">
        <v>51368</v>
      </c>
      <c r="C131" s="78">
        <v>54177</v>
      </c>
      <c r="D131" s="78">
        <v>52088.156999999992</v>
      </c>
      <c r="E131" s="404">
        <v>57552.959999999999</v>
      </c>
      <c r="F131" s="399">
        <v>55902.879999999997</v>
      </c>
      <c r="G131" s="399">
        <v>54399</v>
      </c>
      <c r="H131" s="525">
        <v>44300</v>
      </c>
      <c r="I131" s="525">
        <v>43700</v>
      </c>
      <c r="J131" s="525">
        <v>42600</v>
      </c>
      <c r="K131" s="102">
        <f>B131/'Population Figures'!P33*1000</f>
        <v>1029.4188376753509</v>
      </c>
      <c r="L131" s="93">
        <f>C131/'Population Figures'!S33*1000</f>
        <v>1069.9938775107144</v>
      </c>
      <c r="M131" s="93">
        <f>D131/'Population Figures'!V33*1000</f>
        <v>1011.6169547484948</v>
      </c>
      <c r="N131" s="93">
        <f>E131/'Population Figures'!Y33*1000</f>
        <v>1102.0193393968405</v>
      </c>
      <c r="O131" s="93">
        <f>F131/'Population Figures'!AB33*1000</f>
        <v>1049.7010665464923</v>
      </c>
      <c r="P131" s="93">
        <f>G131/'Population Figures'!AE33*1000</f>
        <v>988.7311655973391</v>
      </c>
      <c r="Q131" s="93">
        <f>H131/'Population Figures'!AH33*1000</f>
        <v>785.61421553849152</v>
      </c>
      <c r="R131" s="93">
        <f>I131/'Population Figures'!AK33*1000</f>
        <v>758.57519788918205</v>
      </c>
      <c r="S131" s="93">
        <f>J131/'Population Figures'!AK33*1000</f>
        <v>739.48062769059857</v>
      </c>
      <c r="T131" s="129"/>
      <c r="W131" s="90"/>
    </row>
    <row r="132" spans="1:23">
      <c r="A132" s="91" t="s">
        <v>59</v>
      </c>
      <c r="B132" s="78">
        <v>10875</v>
      </c>
      <c r="C132" s="78">
        <v>14562</v>
      </c>
      <c r="D132" s="78">
        <v>13878.15</v>
      </c>
      <c r="E132" s="404">
        <v>16680.740000000002</v>
      </c>
      <c r="F132" s="399">
        <v>17099.169999999998</v>
      </c>
      <c r="G132" s="399">
        <v>18547</v>
      </c>
      <c r="H132" s="525">
        <v>18800</v>
      </c>
      <c r="I132" s="525">
        <v>18600</v>
      </c>
      <c r="J132" s="525">
        <v>18900</v>
      </c>
      <c r="K132" s="102">
        <f>B132/'Population Figures'!P34*1000</f>
        <v>749.94827942900486</v>
      </c>
      <c r="L132" s="93">
        <f>C132/'Population Figures'!S34*1000</f>
        <v>982.92271346608163</v>
      </c>
      <c r="M132" s="93">
        <f>D132/'Population Figures'!V34*1000</f>
        <v>914.23913043478251</v>
      </c>
      <c r="N132" s="93">
        <f>E132/'Population Figures'!Y34*1000</f>
        <v>1083.5167262098084</v>
      </c>
      <c r="O132" s="93">
        <f>F132/'Population Figures'!AB34*1000</f>
        <v>1092.1799948901378</v>
      </c>
      <c r="P132" s="93">
        <f>G132/'Population Figures'!AE34*1000</f>
        <v>1139.8807694671502</v>
      </c>
      <c r="Q132" s="93">
        <f>H132/'Population Figures'!AH34*1000</f>
        <v>1133.7594982511157</v>
      </c>
      <c r="R132" s="93">
        <f>I132/'Population Figures'!AK34*1000</f>
        <v>1102.1569092201944</v>
      </c>
      <c r="S132" s="93">
        <f>J132/'Population Figures'!AK34*1000</f>
        <v>1119.9336335624555</v>
      </c>
      <c r="T132" s="129"/>
    </row>
    <row r="133" spans="1:23">
      <c r="A133" s="91" t="s">
        <v>60</v>
      </c>
      <c r="B133" s="78">
        <v>13575</v>
      </c>
      <c r="C133" s="78">
        <v>13562</v>
      </c>
      <c r="D133" s="78">
        <v>12914.95</v>
      </c>
      <c r="E133" s="404">
        <v>12800.18</v>
      </c>
      <c r="F133" s="399">
        <v>12143.08</v>
      </c>
      <c r="G133" s="399">
        <v>12774</v>
      </c>
      <c r="H133" s="525">
        <v>11500</v>
      </c>
      <c r="I133" s="525">
        <v>11700</v>
      </c>
      <c r="J133" s="525">
        <v>10500</v>
      </c>
      <c r="K133" s="102">
        <f>B133/'Population Figures'!P35*1000</f>
        <v>929.15811088295686</v>
      </c>
      <c r="L133" s="93">
        <f>C133/'Population Figures'!S35*1000</f>
        <v>926.93595789761457</v>
      </c>
      <c r="M133" s="93">
        <f>D133/'Population Figures'!V35*1000</f>
        <v>873.93084314521593</v>
      </c>
      <c r="N133" s="93">
        <f>E133/'Population Figures'!Y35*1000</f>
        <v>858.49631120053664</v>
      </c>
      <c r="O133" s="93">
        <f>F133/'Population Figures'!AB35*1000</f>
        <v>810.18681611956231</v>
      </c>
      <c r="P133" s="93">
        <f>G133/'Population Figures'!AE35*1000</f>
        <v>836.48745989129725</v>
      </c>
      <c r="Q133" s="93">
        <f>H133/'Population Figures'!AH35*1000</f>
        <v>741.17040474349062</v>
      </c>
      <c r="R133" s="93">
        <f>I133/'Population Figures'!AK35*1000</f>
        <v>743.28187535734708</v>
      </c>
      <c r="S133" s="93">
        <f>J133/'Population Figures'!AK35*1000</f>
        <v>667.04783685915754</v>
      </c>
      <c r="T133" s="129"/>
    </row>
    <row r="134" spans="1:23">
      <c r="A134" s="91" t="s">
        <v>61</v>
      </c>
      <c r="B134" s="78">
        <v>9214</v>
      </c>
      <c r="C134" s="78">
        <v>10980</v>
      </c>
      <c r="D134" s="78">
        <v>12134</v>
      </c>
      <c r="E134" s="404">
        <v>14645.57</v>
      </c>
      <c r="F134" s="399">
        <v>14305.89</v>
      </c>
      <c r="G134" s="399">
        <v>15563</v>
      </c>
      <c r="H134" s="525">
        <v>16800</v>
      </c>
      <c r="I134" s="525">
        <v>18500</v>
      </c>
      <c r="J134" s="525">
        <v>18800</v>
      </c>
      <c r="K134" s="102">
        <f>B134/'Population Figures'!P36*1000</f>
        <v>430.3194470390435</v>
      </c>
      <c r="L134" s="93">
        <f>C134/'Population Figures'!S36*1000</f>
        <v>496.90003167850836</v>
      </c>
      <c r="M134" s="93">
        <f>D134/'Population Figures'!V36*1000</f>
        <v>533.47988568916253</v>
      </c>
      <c r="N134" s="93">
        <f>E134/'Population Figures'!Y36*1000</f>
        <v>624.49130138154533</v>
      </c>
      <c r="O134" s="93">
        <f>F134/'Population Figures'!AB36*1000</f>
        <v>592.47452994284765</v>
      </c>
      <c r="P134" s="93">
        <f>G134/'Population Figures'!AE36*1000</f>
        <v>617.2609368183081</v>
      </c>
      <c r="Q134" s="93">
        <f>H134/'Population Figures'!AH36*1000</f>
        <v>640.56125366988215</v>
      </c>
      <c r="R134" s="93">
        <f>I134/'Population Figures'!AK36*1000</f>
        <v>681.901953556948</v>
      </c>
      <c r="S134" s="93">
        <f>J134/'Population Figures'!AK36*1000</f>
        <v>692.95982307408781</v>
      </c>
      <c r="T134" s="129"/>
    </row>
    <row r="135" spans="1:23">
      <c r="A135" s="94" t="s">
        <v>5</v>
      </c>
      <c r="B135" s="100">
        <v>645041</v>
      </c>
      <c r="C135" s="100">
        <v>651014</v>
      </c>
      <c r="D135" s="100">
        <v>645727.36491666664</v>
      </c>
      <c r="E135" s="100">
        <v>666434.06999999995</v>
      </c>
      <c r="F135" s="522">
        <v>683847.6</v>
      </c>
      <c r="G135" s="522">
        <v>712894</v>
      </c>
      <c r="H135" s="526">
        <v>631100</v>
      </c>
      <c r="I135" s="526">
        <v>678900</v>
      </c>
      <c r="J135" s="526">
        <v>706000</v>
      </c>
      <c r="K135" s="103">
        <f>B135/'Population Figures'!P37*1000</f>
        <v>762.80875530532285</v>
      </c>
      <c r="L135" s="95">
        <f>C135/'Population Figures'!S37*1000</f>
        <v>760.04824042692542</v>
      </c>
      <c r="M135" s="95">
        <f>D135/'Population Figures'!V37*1000</f>
        <v>743.48698108565759</v>
      </c>
      <c r="N135" s="95">
        <f>E135/'Population Figures'!Y37*1000</f>
        <v>757.74887093913298</v>
      </c>
      <c r="O135" s="95">
        <f>F135/'Population Figures'!AB37*1000</f>
        <v>762.91283451811989</v>
      </c>
      <c r="P135" s="95">
        <f>G135/'Population Figures'!AE37*1000</f>
        <v>770.07100181366263</v>
      </c>
      <c r="Q135" s="95">
        <f>H135/'Population Figures'!AH37*1000</f>
        <v>666.5174016910596</v>
      </c>
      <c r="R135" s="95">
        <f>I135/'Population Figures'!AK37*1000</f>
        <v>701.06124708149309</v>
      </c>
      <c r="S135" s="95">
        <f>J135/'Population Figures'!AK37*1000</f>
        <v>729.04586896381522</v>
      </c>
      <c r="T135" s="478"/>
    </row>
    <row r="136" spans="1:23">
      <c r="J136" s="11"/>
      <c r="K136" s="11"/>
    </row>
    <row r="137" spans="1:23">
      <c r="A137" s="1" t="s">
        <v>93</v>
      </c>
    </row>
    <row r="138" spans="1:23">
      <c r="A138" t="s">
        <v>270</v>
      </c>
    </row>
    <row r="139" spans="1:23">
      <c r="A139" s="529" t="s">
        <v>364</v>
      </c>
      <c r="B139" s="443"/>
      <c r="C139" s="443"/>
      <c r="D139" s="443"/>
      <c r="E139" s="443"/>
    </row>
    <row r="142" spans="1:23">
      <c r="A142" s="128" t="s">
        <v>157</v>
      </c>
    </row>
    <row r="144" spans="1:23">
      <c r="A144" t="s">
        <v>26</v>
      </c>
      <c r="B144" s="421" t="s">
        <v>383</v>
      </c>
      <c r="D144" t="s">
        <v>101</v>
      </c>
    </row>
    <row r="145" spans="1:8">
      <c r="A145" s="3" t="s">
        <v>39</v>
      </c>
      <c r="B145" s="527">
        <v>1122.7015558698727</v>
      </c>
      <c r="C145" s="188" t="str">
        <f>IF(A145=Cover!$C$5,B145,"")</f>
        <v/>
      </c>
      <c r="D145" s="410">
        <f>$S$135</f>
        <v>729.04586896381522</v>
      </c>
      <c r="G145" s="90"/>
      <c r="H145" s="90"/>
    </row>
    <row r="146" spans="1:8">
      <c r="A146" s="3" t="s">
        <v>59</v>
      </c>
      <c r="B146" s="527">
        <v>1119.9336335624555</v>
      </c>
      <c r="C146" s="188" t="str">
        <f>IF(A146=Cover!$C$5,B146,"")</f>
        <v/>
      </c>
      <c r="D146" s="410">
        <f t="shared" ref="D146:D176" si="1">$S$135</f>
        <v>729.04586896381522</v>
      </c>
      <c r="G146" s="90"/>
      <c r="H146" s="90"/>
    </row>
    <row r="147" spans="1:8">
      <c r="A147" s="3" t="s">
        <v>40</v>
      </c>
      <c r="B147" s="527">
        <v>1102.7903159622488</v>
      </c>
      <c r="C147" s="188" t="str">
        <f>IF(A147=Cover!$C$5,B147,"")</f>
        <v/>
      </c>
      <c r="D147" s="410">
        <f t="shared" si="1"/>
        <v>729.04586896381522</v>
      </c>
      <c r="G147" s="90"/>
      <c r="H147" s="90"/>
    </row>
    <row r="148" spans="1:8">
      <c r="A148" s="3" t="s">
        <v>36</v>
      </c>
      <c r="B148" s="527">
        <v>1096.0436180623515</v>
      </c>
      <c r="C148" s="188" t="str">
        <f>IF(A148=Cover!$C$5,B148,"")</f>
        <v/>
      </c>
      <c r="D148" s="410">
        <f t="shared" si="1"/>
        <v>729.04586896381522</v>
      </c>
      <c r="G148" s="90"/>
      <c r="H148" s="90"/>
    </row>
    <row r="149" spans="1:8">
      <c r="A149" s="3" t="s">
        <v>54</v>
      </c>
      <c r="B149" s="527">
        <v>1089.7294573399263</v>
      </c>
      <c r="C149" s="188" t="str">
        <f>IF(A149=Cover!$C$5,B149,"")</f>
        <v/>
      </c>
      <c r="D149" s="410">
        <f t="shared" si="1"/>
        <v>729.04586896381522</v>
      </c>
      <c r="G149" s="90"/>
      <c r="H149" s="90"/>
    </row>
    <row r="150" spans="1:8">
      <c r="A150" s="3" t="s">
        <v>47</v>
      </c>
      <c r="B150" s="527">
        <v>1064.3043783060352</v>
      </c>
      <c r="C150" s="188" t="str">
        <f>IF(A150=Cover!$C$5,B150,"")</f>
        <v/>
      </c>
      <c r="D150" s="410">
        <f t="shared" si="1"/>
        <v>729.04586896381522</v>
      </c>
      <c r="G150" s="90"/>
      <c r="H150" s="90"/>
    </row>
    <row r="151" spans="1:8">
      <c r="A151" s="3" t="s">
        <v>140</v>
      </c>
      <c r="B151" s="527">
        <v>986.32958040347387</v>
      </c>
      <c r="C151" s="188" t="str">
        <f>IF(A151=Cover!$C$5,B151,"")</f>
        <v/>
      </c>
      <c r="D151" s="410">
        <f t="shared" si="1"/>
        <v>729.04586896381522</v>
      </c>
      <c r="G151" s="90"/>
      <c r="H151" s="90"/>
    </row>
    <row r="152" spans="1:8">
      <c r="A152" s="3" t="s">
        <v>50</v>
      </c>
      <c r="B152" s="527">
        <v>902.07090207090209</v>
      </c>
      <c r="C152" s="188" t="str">
        <f>IF(A152=Cover!$C$5,B152,"")</f>
        <v/>
      </c>
      <c r="D152" s="410">
        <f t="shared" si="1"/>
        <v>729.04586896381522</v>
      </c>
      <c r="G152" s="90"/>
      <c r="H152" s="90"/>
    </row>
    <row r="153" spans="1:8">
      <c r="A153" s="3" t="s">
        <v>45</v>
      </c>
      <c r="B153" s="527">
        <v>896.6516227119821</v>
      </c>
      <c r="C153" s="188" t="str">
        <f>IF(A153=Cover!$C$5,B153,"")</f>
        <v/>
      </c>
      <c r="D153" s="410">
        <f t="shared" si="1"/>
        <v>729.04586896381522</v>
      </c>
      <c r="G153" s="90"/>
      <c r="H153" s="90"/>
    </row>
    <row r="154" spans="1:8">
      <c r="A154" s="3" t="s">
        <v>35</v>
      </c>
      <c r="B154" s="527">
        <v>814.66395112016301</v>
      </c>
      <c r="C154" s="188" t="str">
        <f>IF(A154=Cover!$C$5,B154,"")</f>
        <v/>
      </c>
      <c r="D154" s="410">
        <f t="shared" si="1"/>
        <v>729.04586896381522</v>
      </c>
      <c r="G154" s="90"/>
      <c r="H154" s="90"/>
    </row>
    <row r="155" spans="1:8">
      <c r="A155" t="s">
        <v>43</v>
      </c>
      <c r="B155" s="90">
        <v>776.080969922392</v>
      </c>
      <c r="C155" s="188" t="str">
        <f>IF(A155=Cover!$C$5,B155,"")</f>
        <v/>
      </c>
      <c r="D155" s="410">
        <f t="shared" si="1"/>
        <v>729.04586896381522</v>
      </c>
      <c r="G155" s="90"/>
      <c r="H155" s="90"/>
    </row>
    <row r="156" spans="1:8">
      <c r="A156" s="3" t="s">
        <v>38</v>
      </c>
      <c r="B156" s="527">
        <v>771.3854772678302</v>
      </c>
      <c r="C156" s="188" t="str">
        <f>IF(A156=Cover!$C$5,B156,"")</f>
        <v/>
      </c>
      <c r="D156" s="410">
        <f t="shared" si="1"/>
        <v>729.04586896381522</v>
      </c>
      <c r="G156" s="90"/>
      <c r="H156" s="90"/>
    </row>
    <row r="157" spans="1:8">
      <c r="A157" s="3" t="s">
        <v>44</v>
      </c>
      <c r="B157" s="527">
        <v>762.70351659794835</v>
      </c>
      <c r="C157" s="188" t="str">
        <f>IF(A157=Cover!$C$5,B157,"")</f>
        <v/>
      </c>
      <c r="D157" s="410">
        <f t="shared" si="1"/>
        <v>729.04586896381522</v>
      </c>
      <c r="G157" s="90"/>
      <c r="H157" s="90"/>
    </row>
    <row r="158" spans="1:8">
      <c r="A158" s="3" t="s">
        <v>58</v>
      </c>
      <c r="B158" s="528">
        <v>739.48062769059857</v>
      </c>
      <c r="C158" s="188" t="str">
        <f>IF(A158=Cover!$C$5,B158,"")</f>
        <v/>
      </c>
      <c r="D158" s="410">
        <f t="shared" si="1"/>
        <v>729.04586896381522</v>
      </c>
      <c r="G158" s="90"/>
      <c r="H158" s="90"/>
    </row>
    <row r="159" spans="1:8">
      <c r="A159" s="3" t="s">
        <v>42</v>
      </c>
      <c r="B159" s="527">
        <v>698.10735339745577</v>
      </c>
      <c r="C159" s="188" t="str">
        <f>IF(A159=Cover!$C$5,B159,"")</f>
        <v/>
      </c>
      <c r="D159" s="410">
        <f t="shared" si="1"/>
        <v>729.04586896381522</v>
      </c>
      <c r="G159" s="90"/>
      <c r="H159" s="90"/>
    </row>
    <row r="160" spans="1:8">
      <c r="A160" s="3" t="s">
        <v>57</v>
      </c>
      <c r="B160" s="527">
        <v>697.60388231725813</v>
      </c>
      <c r="C160" s="188" t="str">
        <f>IF(A160=Cover!$C$5,B160,"")</f>
        <v/>
      </c>
      <c r="D160" s="410">
        <f t="shared" si="1"/>
        <v>729.04586896381522</v>
      </c>
      <c r="G160" s="90"/>
      <c r="H160" s="90"/>
    </row>
    <row r="161" spans="1:8">
      <c r="A161" s="3" t="s">
        <v>61</v>
      </c>
      <c r="B161" s="527">
        <v>692.95982307408781</v>
      </c>
      <c r="C161" s="188" t="str">
        <f>IF(A161=Cover!$C$5,B161,"")</f>
        <v/>
      </c>
      <c r="D161" s="410">
        <f t="shared" si="1"/>
        <v>729.04586896381522</v>
      </c>
      <c r="G161" s="90"/>
      <c r="H161" s="90"/>
    </row>
    <row r="162" spans="1:8">
      <c r="A162" s="3" t="s">
        <v>33</v>
      </c>
      <c r="B162" s="527">
        <v>674.91124722038001</v>
      </c>
      <c r="C162" s="188" t="str">
        <f>IF(A162=Cover!$C$5,B162,"")</f>
        <v/>
      </c>
      <c r="D162" s="410">
        <f t="shared" si="1"/>
        <v>729.04586896381522</v>
      </c>
      <c r="G162" s="90"/>
      <c r="H162" s="90"/>
    </row>
    <row r="163" spans="1:8">
      <c r="A163" s="3" t="s">
        <v>60</v>
      </c>
      <c r="B163" s="527">
        <v>667.04783685915754</v>
      </c>
      <c r="C163" s="188" t="str">
        <f>IF(A163=Cover!$C$5,B163,"")</f>
        <v/>
      </c>
      <c r="D163" s="410">
        <f t="shared" si="1"/>
        <v>729.04586896381522</v>
      </c>
      <c r="G163" s="90"/>
      <c r="H163" s="90"/>
    </row>
    <row r="164" spans="1:8">
      <c r="A164" s="3" t="s">
        <v>48</v>
      </c>
      <c r="B164" s="527">
        <v>653.30173573304296</v>
      </c>
      <c r="C164" s="188" t="str">
        <f>IF(A164=Cover!$C$5,B164,"")</f>
        <v/>
      </c>
      <c r="D164" s="410">
        <f t="shared" si="1"/>
        <v>729.04586896381522</v>
      </c>
      <c r="G164" s="90"/>
      <c r="H164" s="90"/>
    </row>
    <row r="165" spans="1:8">
      <c r="A165" s="3" t="s">
        <v>49</v>
      </c>
      <c r="B165" s="527">
        <v>642.10526315789468</v>
      </c>
      <c r="C165" s="188" t="str">
        <f>IF(A165=Cover!$C$5,B165,"")</f>
        <v/>
      </c>
      <c r="D165" s="410">
        <f t="shared" si="1"/>
        <v>729.04586896381522</v>
      </c>
      <c r="G165" s="90"/>
      <c r="H165" s="90"/>
    </row>
    <row r="166" spans="1:8">
      <c r="A166" s="3" t="s">
        <v>37</v>
      </c>
      <c r="B166" s="527">
        <v>620.25120173670336</v>
      </c>
      <c r="C166" s="188" t="str">
        <f>IF(A166=Cover!$C$5,B166,"")</f>
        <v/>
      </c>
      <c r="D166" s="410">
        <f t="shared" si="1"/>
        <v>729.04586896381522</v>
      </c>
      <c r="G166" s="90"/>
      <c r="H166" s="90"/>
    </row>
    <row r="167" spans="1:8">
      <c r="A167" s="3" t="s">
        <v>56</v>
      </c>
      <c r="B167" s="527">
        <v>614.36672967863888</v>
      </c>
      <c r="C167" s="188" t="str">
        <f>IF(A167=Cover!$C$5,B167,"")</f>
        <v/>
      </c>
      <c r="D167" s="410">
        <f t="shared" si="1"/>
        <v>729.04586896381522</v>
      </c>
      <c r="G167" s="90"/>
      <c r="H167" s="90"/>
    </row>
    <row r="168" spans="1:8">
      <c r="A168" s="3" t="s">
        <v>51</v>
      </c>
      <c r="B168" s="527">
        <v>584.02686523580087</v>
      </c>
      <c r="C168" s="188" t="str">
        <f>IF(A168=Cover!$C$5,B168,"")</f>
        <v/>
      </c>
      <c r="D168" s="410">
        <f t="shared" si="1"/>
        <v>729.04586896381522</v>
      </c>
      <c r="G168" s="90"/>
      <c r="H168" s="90"/>
    </row>
    <row r="169" spans="1:8">
      <c r="A169" s="3" t="s">
        <v>34</v>
      </c>
      <c r="B169" s="527">
        <v>577.87040545661239</v>
      </c>
      <c r="C169" s="188" t="str">
        <f>IF(A169=Cover!$C$5,B169,"")</f>
        <v/>
      </c>
      <c r="D169" s="410">
        <f t="shared" si="1"/>
        <v>729.04586896381522</v>
      </c>
      <c r="G169" s="90"/>
      <c r="H169" s="90"/>
    </row>
    <row r="170" spans="1:8">
      <c r="A170" s="3" t="s">
        <v>52</v>
      </c>
      <c r="B170" s="527">
        <v>529.99788000847991</v>
      </c>
      <c r="C170" s="188" t="str">
        <f>IF(A170=Cover!$C$5,B170,"")</f>
        <v/>
      </c>
      <c r="D170" s="410">
        <f t="shared" si="1"/>
        <v>729.04586896381522</v>
      </c>
      <c r="G170" s="90"/>
      <c r="H170" s="90"/>
    </row>
    <row r="171" spans="1:8">
      <c r="A171" s="3" t="s">
        <v>31</v>
      </c>
      <c r="B171" s="527">
        <v>522.45993987332542</v>
      </c>
      <c r="C171" s="188">
        <f>IF(A171=Cover!$C$5,B171,"")</f>
        <v>522.45993987332542</v>
      </c>
      <c r="D171" s="410">
        <f t="shared" si="1"/>
        <v>729.04586896381522</v>
      </c>
      <c r="G171" s="90"/>
      <c r="H171" s="90"/>
    </row>
    <row r="172" spans="1:8">
      <c r="A172" s="3" t="s">
        <v>32</v>
      </c>
      <c r="B172" s="527">
        <v>393.11610028828517</v>
      </c>
      <c r="C172" s="188" t="str">
        <f>IF(A172=Cover!$C$5,B172,"")</f>
        <v/>
      </c>
      <c r="D172" s="410">
        <f t="shared" si="1"/>
        <v>729.04586896381522</v>
      </c>
      <c r="G172" s="90"/>
      <c r="H172" s="90"/>
    </row>
    <row r="173" spans="1:8">
      <c r="A173" s="3" t="s">
        <v>41</v>
      </c>
      <c r="B173" s="527">
        <v>344.84708010628071</v>
      </c>
      <c r="C173" s="188" t="str">
        <f>IF(A173=Cover!$C$5,B173,"")</f>
        <v/>
      </c>
      <c r="D173" s="410">
        <f t="shared" si="1"/>
        <v>729.04586896381522</v>
      </c>
      <c r="G173" s="90"/>
      <c r="H173" s="90"/>
    </row>
    <row r="174" spans="1:8">
      <c r="A174" s="3" t="s">
        <v>53</v>
      </c>
      <c r="B174" s="527">
        <v>325.9933571164965</v>
      </c>
      <c r="C174" s="188" t="str">
        <f>IF(A174=Cover!$C$5,B174,"")</f>
        <v/>
      </c>
      <c r="D174" s="410">
        <f t="shared" si="1"/>
        <v>729.04586896381522</v>
      </c>
      <c r="G174" s="90"/>
      <c r="H174" s="90"/>
    </row>
    <row r="175" spans="1:8">
      <c r="A175" s="3" t="s">
        <v>55</v>
      </c>
      <c r="B175" s="527">
        <v>319.01560897801073</v>
      </c>
      <c r="C175" s="188" t="str">
        <f>IF(A175=Cover!$C$5,B175,"")</f>
        <v/>
      </c>
      <c r="D175" s="410">
        <f t="shared" si="1"/>
        <v>729.04586896381522</v>
      </c>
      <c r="G175" s="90"/>
      <c r="H175" s="90"/>
    </row>
    <row r="176" spans="1:8">
      <c r="A176" s="3" t="s">
        <v>46</v>
      </c>
      <c r="B176" s="527">
        <v>289.49286681245445</v>
      </c>
      <c r="C176" s="188" t="str">
        <f>IF(A176=Cover!$C$5,B176,"")</f>
        <v/>
      </c>
      <c r="D176" s="410">
        <f t="shared" si="1"/>
        <v>729.04586896381522</v>
      </c>
      <c r="G176" s="90"/>
      <c r="H176" s="90"/>
    </row>
    <row r="177" spans="1:33">
      <c r="A177" s="3"/>
      <c r="B177" s="527"/>
      <c r="C177" s="188"/>
      <c r="D177" s="410"/>
    </row>
    <row r="178" spans="1:33">
      <c r="A178" t="s">
        <v>160</v>
      </c>
      <c r="B178" s="188">
        <f>MIN($B$145:$B$176)</f>
        <v>289.49286681245445</v>
      </c>
    </row>
    <row r="179" spans="1:33">
      <c r="A179" t="s">
        <v>161</v>
      </c>
      <c r="B179" s="188">
        <f>MAX($B$145:$B$176)</f>
        <v>1122.7015558698727</v>
      </c>
    </row>
    <row r="183" spans="1:33">
      <c r="A183" s="411" t="s">
        <v>271</v>
      </c>
    </row>
    <row r="184" spans="1:33">
      <c r="A184" s="128" t="s">
        <v>164</v>
      </c>
    </row>
    <row r="187" spans="1:33" ht="29.25" customHeight="1">
      <c r="A187" s="91"/>
      <c r="B187" s="717" t="s">
        <v>166</v>
      </c>
      <c r="C187" s="718"/>
      <c r="D187" s="718"/>
      <c r="E187" s="718"/>
      <c r="F187" s="718"/>
      <c r="G187" s="718"/>
      <c r="H187" s="718"/>
      <c r="I187" s="718"/>
      <c r="J187" s="718"/>
      <c r="K187" s="718"/>
      <c r="L187" s="719"/>
      <c r="M187" s="602"/>
      <c r="N187" s="717" t="s">
        <v>167</v>
      </c>
      <c r="O187" s="718"/>
      <c r="P187" s="718"/>
      <c r="Q187" s="718"/>
      <c r="R187" s="718"/>
      <c r="S187" s="718"/>
      <c r="T187" s="718"/>
      <c r="U187" s="718"/>
      <c r="V187" s="718"/>
      <c r="W187" s="719"/>
      <c r="X187" s="717" t="str">
        <f>"Rate per 1,000 (" &amp; $N$187 &amp; ")"</f>
        <v>Rate per 1,000 (Number of people aged 65+ receiving less than 10+ hours per week)</v>
      </c>
      <c r="Y187" s="718"/>
      <c r="Z187" s="718"/>
      <c r="AA187" s="718"/>
      <c r="AB187" s="718"/>
      <c r="AC187" s="718"/>
      <c r="AD187" s="718"/>
      <c r="AE187" s="719"/>
    </row>
    <row r="188" spans="1:33">
      <c r="A188" s="94" t="s">
        <v>26</v>
      </c>
      <c r="B188" s="94" t="s">
        <v>4</v>
      </c>
      <c r="C188" s="94" t="s">
        <v>0</v>
      </c>
      <c r="D188" s="94" t="s">
        <v>1</v>
      </c>
      <c r="E188" s="94" t="s">
        <v>28</v>
      </c>
      <c r="F188" s="94" t="s">
        <v>65</v>
      </c>
      <c r="G188" s="94" t="s">
        <v>267</v>
      </c>
      <c r="H188" s="94" t="s">
        <v>315</v>
      </c>
      <c r="I188" s="94" t="s">
        <v>322</v>
      </c>
      <c r="J188" s="94" t="s">
        <v>369</v>
      </c>
      <c r="K188" s="94" t="s">
        <v>382</v>
      </c>
      <c r="N188" s="94" t="s">
        <v>4</v>
      </c>
      <c r="O188" s="94" t="s">
        <v>0</v>
      </c>
      <c r="P188" s="94" t="s">
        <v>1</v>
      </c>
      <c r="Q188" s="94" t="s">
        <v>28</v>
      </c>
      <c r="R188" s="94" t="s">
        <v>65</v>
      </c>
      <c r="S188" s="94" t="s">
        <v>267</v>
      </c>
      <c r="T188" s="94" t="s">
        <v>315</v>
      </c>
      <c r="U188" s="94" t="s">
        <v>322</v>
      </c>
      <c r="V188" s="94" t="s">
        <v>369</v>
      </c>
      <c r="W188" s="94" t="s">
        <v>382</v>
      </c>
      <c r="X188" s="94" t="s">
        <v>4</v>
      </c>
      <c r="Y188" s="94" t="s">
        <v>0</v>
      </c>
      <c r="Z188" s="94" t="s">
        <v>1</v>
      </c>
      <c r="AA188" s="94" t="s">
        <v>28</v>
      </c>
      <c r="AB188" s="94" t="s">
        <v>65</v>
      </c>
      <c r="AC188" s="94" t="s">
        <v>267</v>
      </c>
      <c r="AD188" s="94" t="s">
        <v>315</v>
      </c>
      <c r="AE188" s="94" t="s">
        <v>322</v>
      </c>
      <c r="AF188" s="94" t="s">
        <v>369</v>
      </c>
      <c r="AG188" s="94" t="s">
        <v>382</v>
      </c>
    </row>
    <row r="189" spans="1:33">
      <c r="A189" s="91" t="s">
        <v>31</v>
      </c>
      <c r="B189" s="78">
        <v>2490</v>
      </c>
      <c r="C189" s="14">
        <v>2541</v>
      </c>
      <c r="D189" s="14">
        <v>1975</v>
      </c>
      <c r="E189" s="514">
        <v>1610</v>
      </c>
      <c r="F189" s="514">
        <v>1724</v>
      </c>
      <c r="G189" s="514">
        <v>1739</v>
      </c>
      <c r="H189" s="514">
        <v>1784</v>
      </c>
      <c r="I189" s="514">
        <v>1610</v>
      </c>
      <c r="J189" s="514">
        <v>1590</v>
      </c>
      <c r="K189">
        <v>1490</v>
      </c>
      <c r="N189" s="78">
        <f t="shared" ref="N189:N221" si="2">B189-B271</f>
        <v>1907</v>
      </c>
      <c r="O189" s="78">
        <f t="shared" ref="O189:O221" si="3">C189-C271</f>
        <v>1899</v>
      </c>
      <c r="P189" s="78">
        <f t="shared" ref="P189:P221" si="4">D189-D271</f>
        <v>1474</v>
      </c>
      <c r="Q189" s="78">
        <f t="shared" ref="Q189:Q221" si="5">E189-E271</f>
        <v>1142</v>
      </c>
      <c r="R189" s="78">
        <f t="shared" ref="R189:R221" si="6">F189-F271</f>
        <v>1204</v>
      </c>
      <c r="S189" s="78">
        <f t="shared" ref="S189:S221" si="7">G189-G271</f>
        <v>1202</v>
      </c>
      <c r="T189" s="78">
        <f t="shared" ref="T189:T221" si="8">H189-H271</f>
        <v>1210</v>
      </c>
      <c r="U189" s="78">
        <f t="shared" ref="U189:U221" si="9">I189-J271</f>
        <v>1160</v>
      </c>
      <c r="V189" s="91">
        <v>1130</v>
      </c>
      <c r="W189">
        <v>1060</v>
      </c>
      <c r="X189" s="148">
        <f>(N189/'Population Figures'!J5)*1000</f>
        <v>58.861658127044876</v>
      </c>
      <c r="Y189" s="148">
        <f>(O189/'Population Figures'!M5)*1000</f>
        <v>58.821707347292779</v>
      </c>
      <c r="Z189" s="148">
        <f>(P189/'Population Figures'!P5)*1000</f>
        <v>45.677099473194922</v>
      </c>
      <c r="AA189" s="148">
        <f>(Q189/'Population Figures'!S5)*1000</f>
        <v>35.471346482373036</v>
      </c>
      <c r="AB189" s="148">
        <f>(R189/'Population Figures'!V5)*1000</f>
        <v>37.399434659708632</v>
      </c>
      <c r="AC189" s="148">
        <f>(S189/'Population Figures'!Y5)*1000</f>
        <v>37.439651144681513</v>
      </c>
      <c r="AD189" s="148">
        <f>(T189/'Population Figures'!AB5)*1000</f>
        <v>37.520543272659623</v>
      </c>
      <c r="AE189" s="148">
        <f>(U189/'Population Figures'!AE5)*1000</f>
        <v>34.975577398540672</v>
      </c>
      <c r="AF189" s="148">
        <f>(V189/'Population Figures'!AH5)*1000</f>
        <v>33.518227390027583</v>
      </c>
      <c r="AG189" s="148">
        <f>(W189/'Population Figures'!AK5)*1000</f>
        <v>30.938968506465077</v>
      </c>
    </row>
    <row r="190" spans="1:33">
      <c r="A190" s="91" t="s">
        <v>32</v>
      </c>
      <c r="B190" s="78">
        <v>1830</v>
      </c>
      <c r="C190" s="14">
        <v>1929</v>
      </c>
      <c r="D190" s="14">
        <v>2101</v>
      </c>
      <c r="E190" s="514">
        <v>2199</v>
      </c>
      <c r="F190" s="514">
        <v>2068</v>
      </c>
      <c r="G190" s="514">
        <v>1861</v>
      </c>
      <c r="H190" s="514">
        <v>1828</v>
      </c>
      <c r="I190" s="514">
        <v>1960</v>
      </c>
      <c r="J190" s="514">
        <v>1860</v>
      </c>
      <c r="K190">
        <v>1810</v>
      </c>
      <c r="N190" s="78">
        <f t="shared" si="2"/>
        <v>1532</v>
      </c>
      <c r="O190" s="78">
        <f t="shared" si="3"/>
        <v>1591</v>
      </c>
      <c r="P190" s="78">
        <f t="shared" si="4"/>
        <v>1639</v>
      </c>
      <c r="Q190" s="78">
        <f t="shared" si="5"/>
        <v>1877</v>
      </c>
      <c r="R190" s="78">
        <f t="shared" si="6"/>
        <v>1748</v>
      </c>
      <c r="S190" s="78">
        <f t="shared" si="7"/>
        <v>1588</v>
      </c>
      <c r="T190" s="78">
        <f t="shared" si="8"/>
        <v>1493</v>
      </c>
      <c r="U190" s="78">
        <f t="shared" si="9"/>
        <v>1400</v>
      </c>
      <c r="V190" s="91">
        <v>1300</v>
      </c>
      <c r="W190">
        <v>1250</v>
      </c>
      <c r="X190" s="148">
        <f>(N190/'Population Figures'!J6)*1000</f>
        <v>42.78612523040831</v>
      </c>
      <c r="Y190" s="148">
        <f>(O190/'Population Figures'!M6)*1000</f>
        <v>43.622504935292831</v>
      </c>
      <c r="Z190" s="148">
        <f>(P190/'Population Figures'!P6)*1000</f>
        <v>43.872798329675035</v>
      </c>
      <c r="AA190" s="148">
        <f>(Q190/'Population Figures'!S6)*1000</f>
        <v>49.043687290969899</v>
      </c>
      <c r="AB190" s="148">
        <f>(R190/'Population Figures'!V6)*1000</f>
        <v>44.598663060672557</v>
      </c>
      <c r="AC190" s="148">
        <f>(S190/'Population Figures'!Y6)*1000</f>
        <v>39.678177002648546</v>
      </c>
      <c r="AD190" s="148">
        <f>(T190/'Population Figures'!AB6)*1000</f>
        <v>36.298655515304759</v>
      </c>
      <c r="AE190" s="148">
        <f>(U190/'Population Figures'!AE6)*1000</f>
        <v>32.616545907788364</v>
      </c>
      <c r="AF190" s="148">
        <f>(V190/'Population Figures'!AH6)*1000</f>
        <v>29.292474087426768</v>
      </c>
      <c r="AG190" s="148">
        <f>(W190/'Population Figures'!AK6)*1000</f>
        <v>27.299729186686466</v>
      </c>
    </row>
    <row r="191" spans="1:33">
      <c r="A191" s="91" t="s">
        <v>33</v>
      </c>
      <c r="B191" s="78">
        <v>1700</v>
      </c>
      <c r="C191" s="14">
        <v>1711</v>
      </c>
      <c r="D191" s="14">
        <v>1611</v>
      </c>
      <c r="E191" s="514">
        <v>1580</v>
      </c>
      <c r="F191" s="514">
        <v>1524</v>
      </c>
      <c r="G191" s="514">
        <v>1457</v>
      </c>
      <c r="H191" s="514">
        <v>1326</v>
      </c>
      <c r="I191" s="514">
        <v>1270</v>
      </c>
      <c r="J191" s="514">
        <v>1540</v>
      </c>
      <c r="K191">
        <v>1770</v>
      </c>
      <c r="N191" s="78">
        <f t="shared" si="2"/>
        <v>1611</v>
      </c>
      <c r="O191" s="78">
        <f t="shared" si="3"/>
        <v>1602</v>
      </c>
      <c r="P191" s="78">
        <f t="shared" si="4"/>
        <v>1522</v>
      </c>
      <c r="Q191" s="78">
        <f t="shared" si="5"/>
        <v>1479</v>
      </c>
      <c r="R191" s="78">
        <f t="shared" si="6"/>
        <v>1417</v>
      </c>
      <c r="S191" s="78">
        <f t="shared" si="7"/>
        <v>1348</v>
      </c>
      <c r="T191" s="78">
        <f t="shared" si="8"/>
        <v>1212</v>
      </c>
      <c r="U191" s="78">
        <f t="shared" si="9"/>
        <v>780</v>
      </c>
      <c r="V191" s="91">
        <v>1060</v>
      </c>
      <c r="W191">
        <v>1410</v>
      </c>
      <c r="X191" s="148">
        <f>(N191/'Population Figures'!J7)*1000</f>
        <v>78.516424602787794</v>
      </c>
      <c r="Y191" s="148">
        <f>(O191/'Population Figures'!M7)*1000</f>
        <v>77.215983033691614</v>
      </c>
      <c r="Z191" s="148">
        <f>(P191/'Population Figures'!P7)*1000</f>
        <v>72.228549734244496</v>
      </c>
      <c r="AA191" s="148">
        <f>(Q191/'Population Figures'!S7)*1000</f>
        <v>68.66295264623956</v>
      </c>
      <c r="AB191" s="148">
        <f>(R191/'Population Figures'!V7)*1000</f>
        <v>64.555808656036433</v>
      </c>
      <c r="AC191" s="148">
        <f>(S191/'Population Figures'!Y7)*1000</f>
        <v>60.464699022158435</v>
      </c>
      <c r="AD191" s="148">
        <f>(T191/'Population Figures'!AB7)*1000</f>
        <v>52.167175999655662</v>
      </c>
      <c r="AE191" s="148">
        <f>(U191/'Population Figures'!AE7)*1000</f>
        <v>32.186184699182967</v>
      </c>
      <c r="AF191" s="148">
        <f>(V191/'Population Figures'!AH7)*1000</f>
        <v>42.467948717948723</v>
      </c>
      <c r="AG191" s="148">
        <f>(W191/'Population Figures'!AK7)*1000</f>
        <v>55.007217259002068</v>
      </c>
    </row>
    <row r="192" spans="1:33">
      <c r="A192" s="91" t="s">
        <v>34</v>
      </c>
      <c r="B192" s="78">
        <v>830</v>
      </c>
      <c r="C192" s="14">
        <v>712</v>
      </c>
      <c r="D192" s="14">
        <v>735</v>
      </c>
      <c r="E192" s="514">
        <v>690</v>
      </c>
      <c r="F192" s="514">
        <v>747</v>
      </c>
      <c r="G192" s="514">
        <v>767</v>
      </c>
      <c r="H192" s="514">
        <v>836</v>
      </c>
      <c r="I192" s="514">
        <v>930</v>
      </c>
      <c r="J192" s="514">
        <v>1080</v>
      </c>
      <c r="K192">
        <v>1100</v>
      </c>
      <c r="N192" s="78">
        <f t="shared" si="2"/>
        <v>612</v>
      </c>
      <c r="O192" s="78">
        <f t="shared" si="3"/>
        <v>445</v>
      </c>
      <c r="P192" s="78">
        <f t="shared" si="4"/>
        <v>423</v>
      </c>
      <c r="Q192" s="78">
        <f t="shared" si="5"/>
        <v>370</v>
      </c>
      <c r="R192" s="78">
        <f t="shared" si="6"/>
        <v>396</v>
      </c>
      <c r="S192" s="78">
        <f t="shared" si="7"/>
        <v>403</v>
      </c>
      <c r="T192" s="78">
        <f t="shared" si="8"/>
        <v>419</v>
      </c>
      <c r="U192" s="78">
        <f t="shared" si="9"/>
        <v>430</v>
      </c>
      <c r="V192" s="91">
        <v>580</v>
      </c>
      <c r="W192">
        <v>600</v>
      </c>
      <c r="X192" s="148">
        <f>(N192/'Population Figures'!J8)*1000</f>
        <v>34.094707520891369</v>
      </c>
      <c r="Y192" s="148">
        <f>(O192/'Population Figures'!M8)*1000</f>
        <v>24.454580425344837</v>
      </c>
      <c r="Z192" s="148">
        <f>(P192/'Population Figures'!P8)*1000</f>
        <v>22.859922178988324</v>
      </c>
      <c r="AA192" s="148">
        <f>(Q192/'Population Figures'!S8)*1000</f>
        <v>19.725968971583942</v>
      </c>
      <c r="AB192" s="148">
        <f>(R192/'Population Figures'!V8)*1000</f>
        <v>20.783037682376403</v>
      </c>
      <c r="AC192" s="148">
        <f>(S192/'Population Figures'!Y8)*1000</f>
        <v>20.824720959074</v>
      </c>
      <c r="AD192" s="148">
        <f>(T192/'Population Figures'!AB8)*1000</f>
        <v>21.501513829732644</v>
      </c>
      <c r="AE192" s="148">
        <f>(U192/'Population Figures'!AE8)*1000</f>
        <v>21.334656412800793</v>
      </c>
      <c r="AF192" s="148">
        <f>(V192/'Population Figures'!AH8)*1000</f>
        <v>28.128031037827352</v>
      </c>
      <c r="AG192" s="148">
        <f>(W192/'Population Figures'!AK8)*1000</f>
        <v>28.419856006062904</v>
      </c>
    </row>
    <row r="193" spans="1:33">
      <c r="A193" s="91" t="s">
        <v>35</v>
      </c>
      <c r="B193" s="78">
        <v>570</v>
      </c>
      <c r="C193" s="14">
        <v>572</v>
      </c>
      <c r="D193" s="14">
        <v>590</v>
      </c>
      <c r="E193" s="514">
        <v>579</v>
      </c>
      <c r="F193" s="514">
        <v>561</v>
      </c>
      <c r="G193" s="514">
        <v>561</v>
      </c>
      <c r="H193" s="514">
        <v>546</v>
      </c>
      <c r="I193" s="514">
        <v>570</v>
      </c>
      <c r="J193" s="514">
        <v>550</v>
      </c>
      <c r="K193">
        <v>480</v>
      </c>
      <c r="N193" s="78">
        <f t="shared" si="2"/>
        <v>433</v>
      </c>
      <c r="O193" s="78">
        <f t="shared" si="3"/>
        <v>418</v>
      </c>
      <c r="P193" s="78">
        <f t="shared" si="4"/>
        <v>418</v>
      </c>
      <c r="Q193" s="78">
        <f t="shared" si="5"/>
        <v>447</v>
      </c>
      <c r="R193" s="78">
        <f t="shared" si="6"/>
        <v>425</v>
      </c>
      <c r="S193" s="78">
        <f t="shared" si="7"/>
        <v>421</v>
      </c>
      <c r="T193" s="78">
        <f t="shared" si="8"/>
        <v>374</v>
      </c>
      <c r="U193" s="78">
        <f t="shared" si="9"/>
        <v>380</v>
      </c>
      <c r="V193" s="91">
        <v>350</v>
      </c>
      <c r="W193">
        <v>300</v>
      </c>
      <c r="X193" s="148">
        <f>(N193/'Population Figures'!J9)*1000</f>
        <v>58.664137650724832</v>
      </c>
      <c r="Y193" s="148">
        <f>(O193/'Population Figures'!M9)*1000</f>
        <v>56.311464367506396</v>
      </c>
      <c r="Z193" s="148">
        <f>(P193/'Population Figures'!P9)*1000</f>
        <v>55.239857275009911</v>
      </c>
      <c r="AA193" s="148">
        <f>(Q193/'Population Figures'!S9)*1000</f>
        <v>57.894055174200233</v>
      </c>
      <c r="AB193" s="148">
        <f>(R193/'Population Figures'!V9)*1000</f>
        <v>53.9751079502159</v>
      </c>
      <c r="AC193" s="148">
        <f>(S193/'Population Figures'!Y9)*1000</f>
        <v>52.03312322333457</v>
      </c>
      <c r="AD193" s="148">
        <f>(T193/'Population Figures'!AB9)*1000</f>
        <v>44.984363723839309</v>
      </c>
      <c r="AE193" s="148">
        <f>(U193/'Population Figures'!AE9)*1000</f>
        <v>43.523078685144888</v>
      </c>
      <c r="AF193" s="148">
        <f>(V193/'Population Figures'!AH9)*1000</f>
        <v>38.806963077946556</v>
      </c>
      <c r="AG193" s="148">
        <f>(W193/'Population Figures'!AK9)*1000</f>
        <v>32.157787544216959</v>
      </c>
    </row>
    <row r="194" spans="1:33">
      <c r="A194" s="91" t="s">
        <v>36</v>
      </c>
      <c r="B194" s="78">
        <v>1740</v>
      </c>
      <c r="C194" s="14">
        <v>1857</v>
      </c>
      <c r="D194" s="14">
        <v>1713</v>
      </c>
      <c r="E194" s="514">
        <v>1680</v>
      </c>
      <c r="F194" s="514">
        <v>1896</v>
      </c>
      <c r="G194" s="514">
        <v>1880</v>
      </c>
      <c r="H194" s="514">
        <v>1993</v>
      </c>
      <c r="I194" s="514">
        <v>1800</v>
      </c>
      <c r="J194" s="514">
        <v>1590</v>
      </c>
      <c r="K194">
        <v>1660</v>
      </c>
      <c r="N194" s="78">
        <f t="shared" si="2"/>
        <v>1004</v>
      </c>
      <c r="O194" s="78">
        <f t="shared" si="3"/>
        <v>1199</v>
      </c>
      <c r="P194" s="78">
        <f t="shared" si="4"/>
        <v>1067</v>
      </c>
      <c r="Q194" s="78">
        <f t="shared" si="5"/>
        <v>982</v>
      </c>
      <c r="R194" s="78">
        <f t="shared" si="6"/>
        <v>1000</v>
      </c>
      <c r="S194" s="78">
        <f t="shared" si="7"/>
        <v>1012</v>
      </c>
      <c r="T194" s="78">
        <f t="shared" si="8"/>
        <v>1009</v>
      </c>
      <c r="U194" s="78">
        <f t="shared" si="9"/>
        <v>1170</v>
      </c>
      <c r="V194" s="91">
        <v>950</v>
      </c>
      <c r="W194">
        <v>730</v>
      </c>
      <c r="X194" s="148">
        <f>(N194/'Population Figures'!J10)*1000</f>
        <v>33.139688407710587</v>
      </c>
      <c r="Y194" s="148">
        <f>(O194/'Population Figures'!M10)*1000</f>
        <v>39.254845468831853</v>
      </c>
      <c r="Z194" s="148">
        <f>(P194/'Population Figures'!P10)*1000</f>
        <v>34.321924858466289</v>
      </c>
      <c r="AA194" s="148">
        <f>(Q194/'Population Figures'!S10)*1000</f>
        <v>30.918421964043954</v>
      </c>
      <c r="AB194" s="148">
        <f>(R194/'Population Figures'!V10)*1000</f>
        <v>30.872773301225649</v>
      </c>
      <c r="AC194" s="148">
        <f>(S194/'Population Figures'!Y10)*1000</f>
        <v>30.80763493561448</v>
      </c>
      <c r="AD194" s="148">
        <f>(T194/'Population Figures'!AB10)*1000</f>
        <v>30.296661061734326</v>
      </c>
      <c r="AE194" s="148">
        <f>(U194/'Population Figures'!AE10)*1000</f>
        <v>34.073038616110431</v>
      </c>
      <c r="AF194" s="148">
        <f>(V194/'Population Figures'!AH10)*1000</f>
        <v>27.119611761347418</v>
      </c>
      <c r="AG194" s="148">
        <f>(W194/'Population Figures'!AK10)*1000</f>
        <v>20.411016356773381</v>
      </c>
    </row>
    <row r="195" spans="1:33">
      <c r="A195" s="91" t="s">
        <v>37</v>
      </c>
      <c r="B195" s="78">
        <v>1590</v>
      </c>
      <c r="C195" s="14">
        <v>1826</v>
      </c>
      <c r="D195" s="14">
        <v>1923</v>
      </c>
      <c r="E195" s="514">
        <v>1960</v>
      </c>
      <c r="F195" s="514">
        <v>1929</v>
      </c>
      <c r="G195" s="514">
        <v>1878</v>
      </c>
      <c r="H195" s="514">
        <v>1614</v>
      </c>
      <c r="I195" s="514">
        <v>1530</v>
      </c>
      <c r="J195" s="514">
        <v>1640</v>
      </c>
      <c r="K195">
        <v>1600</v>
      </c>
      <c r="N195" s="78">
        <f t="shared" si="2"/>
        <v>1326</v>
      </c>
      <c r="O195" s="78">
        <f t="shared" si="3"/>
        <v>1516</v>
      </c>
      <c r="P195" s="78">
        <f t="shared" si="4"/>
        <v>1570</v>
      </c>
      <c r="Q195" s="78">
        <f t="shared" si="5"/>
        <v>1563</v>
      </c>
      <c r="R195" s="78">
        <f t="shared" si="6"/>
        <v>1491</v>
      </c>
      <c r="S195" s="78">
        <f t="shared" si="7"/>
        <v>1428</v>
      </c>
      <c r="T195" s="78">
        <f t="shared" si="8"/>
        <v>1175</v>
      </c>
      <c r="U195" s="78">
        <f t="shared" si="9"/>
        <v>1020</v>
      </c>
      <c r="V195" s="91">
        <v>1140</v>
      </c>
      <c r="W195">
        <v>1160</v>
      </c>
      <c r="X195" s="148">
        <f>(N195/'Population Figures'!J11)*1000</f>
        <v>51.675759937646141</v>
      </c>
      <c r="Y195" s="148">
        <f>(O195/'Population Figures'!M11)*1000</f>
        <v>59.191004216773386</v>
      </c>
      <c r="Z195" s="148">
        <f>(P195/'Population Figures'!P11)*1000</f>
        <v>61.115652613959277</v>
      </c>
      <c r="AA195" s="148">
        <f>(Q195/'Population Figures'!S11)*1000</f>
        <v>60.928546368845744</v>
      </c>
      <c r="AB195" s="148">
        <f>(R195/'Population Figures'!V11)*1000</f>
        <v>58.246738026408309</v>
      </c>
      <c r="AC195" s="148">
        <f>(S195/'Population Figures'!Y11)*1000</f>
        <v>55.670344236092163</v>
      </c>
      <c r="AD195" s="148">
        <f>(T195/'Population Figures'!AB11)*1000</f>
        <v>47.651877686754808</v>
      </c>
      <c r="AE195" s="148">
        <f>(U195/'Population Figures'!AE11)*1000</f>
        <v>40.56795131845842</v>
      </c>
      <c r="AF195" s="148">
        <f>(V195/'Population Figures'!AH11)*1000</f>
        <v>44.806037023935851</v>
      </c>
      <c r="AG195" s="148">
        <f>(W195/'Population Figures'!AK11)*1000</f>
        <v>44.968212125910995</v>
      </c>
    </row>
    <row r="196" spans="1:33">
      <c r="A196" s="91" t="s">
        <v>38</v>
      </c>
      <c r="B196" s="78">
        <v>1410</v>
      </c>
      <c r="C196" s="14">
        <v>1481</v>
      </c>
      <c r="D196" s="14">
        <v>1586</v>
      </c>
      <c r="E196" s="514">
        <v>1588</v>
      </c>
      <c r="F196" s="514">
        <v>1495</v>
      </c>
      <c r="G196" s="514">
        <v>1484</v>
      </c>
      <c r="H196" s="514">
        <v>1632</v>
      </c>
      <c r="I196" s="514">
        <v>1590</v>
      </c>
      <c r="J196" s="514">
        <v>1620</v>
      </c>
      <c r="K196">
        <v>1520</v>
      </c>
      <c r="N196" s="78">
        <f t="shared" si="2"/>
        <v>864</v>
      </c>
      <c r="O196" s="78">
        <f t="shared" si="3"/>
        <v>970</v>
      </c>
      <c r="P196" s="78">
        <f t="shared" si="4"/>
        <v>1017</v>
      </c>
      <c r="Q196" s="78">
        <f t="shared" si="5"/>
        <v>1062</v>
      </c>
      <c r="R196" s="78">
        <f t="shared" si="6"/>
        <v>1156</v>
      </c>
      <c r="S196" s="78">
        <f t="shared" si="7"/>
        <v>1182</v>
      </c>
      <c r="T196" s="78">
        <f t="shared" si="8"/>
        <v>1291</v>
      </c>
      <c r="U196" s="78">
        <f t="shared" si="9"/>
        <v>1240</v>
      </c>
      <c r="V196" s="91">
        <v>1280</v>
      </c>
      <c r="W196">
        <v>1220</v>
      </c>
      <c r="X196" s="148">
        <f>(N196/'Population Figures'!J12)*1000</f>
        <v>43.616537937301224</v>
      </c>
      <c r="Y196" s="148">
        <f>(O196/'Population Figures'!M12)*1000</f>
        <v>48.470917449530283</v>
      </c>
      <c r="Z196" s="148">
        <f>(P196/'Population Figures'!P12)*1000</f>
        <v>50.363987520427877</v>
      </c>
      <c r="AA196" s="148">
        <f>(Q196/'Population Figures'!S12)*1000</f>
        <v>51.984923393215524</v>
      </c>
      <c r="AB196" s="148">
        <f>(R196/'Population Figures'!V12)*1000</f>
        <v>55.657197881559945</v>
      </c>
      <c r="AC196" s="148">
        <f>(S196/'Population Figures'!Y12)*1000</f>
        <v>55.868034220352598</v>
      </c>
      <c r="AD196" s="148">
        <f>(T196/'Population Figures'!AB12)*1000</f>
        <v>60.248273287287667</v>
      </c>
      <c r="AE196" s="148">
        <f>(U196/'Population Figures'!AE12)*1000</f>
        <v>55.750382159877709</v>
      </c>
      <c r="AF196" s="148">
        <f>(V196/'Population Figures'!AH12)*1000</f>
        <v>56.14773873755319</v>
      </c>
      <c r="AG196" s="148">
        <f>(W196/'Population Figures'!AK12)*1000</f>
        <v>52.574876104287867</v>
      </c>
    </row>
    <row r="197" spans="1:33">
      <c r="A197" s="91" t="s">
        <v>39</v>
      </c>
      <c r="B197" s="78">
        <v>1010</v>
      </c>
      <c r="C197" s="14">
        <v>1025</v>
      </c>
      <c r="D197" s="14">
        <v>1065</v>
      </c>
      <c r="E197" s="514">
        <v>1086</v>
      </c>
      <c r="F197" s="514">
        <v>1105</v>
      </c>
      <c r="G197" s="514">
        <v>1059</v>
      </c>
      <c r="H197" s="514">
        <v>963</v>
      </c>
      <c r="I197" s="514">
        <v>970</v>
      </c>
      <c r="J197" s="514">
        <v>1040</v>
      </c>
      <c r="K197">
        <v>1060</v>
      </c>
      <c r="N197" s="78">
        <f t="shared" si="2"/>
        <v>857</v>
      </c>
      <c r="O197" s="78">
        <f t="shared" si="3"/>
        <v>831</v>
      </c>
      <c r="P197" s="78">
        <f t="shared" si="4"/>
        <v>830</v>
      </c>
      <c r="Q197" s="78">
        <f t="shared" si="5"/>
        <v>911</v>
      </c>
      <c r="R197" s="78">
        <f t="shared" si="6"/>
        <v>943</v>
      </c>
      <c r="S197" s="78">
        <f t="shared" si="7"/>
        <v>890</v>
      </c>
      <c r="T197" s="78">
        <f t="shared" si="8"/>
        <v>760</v>
      </c>
      <c r="U197" s="78">
        <f t="shared" si="9"/>
        <v>560</v>
      </c>
      <c r="V197" s="91">
        <v>630</v>
      </c>
      <c r="W197">
        <v>430</v>
      </c>
      <c r="X197" s="148">
        <f>(N197/'Population Figures'!J13)*1000</f>
        <v>46.825483553709972</v>
      </c>
      <c r="Y197" s="148">
        <f>(O197/'Population Figures'!M13)*1000</f>
        <v>44.914063344503298</v>
      </c>
      <c r="Z197" s="148">
        <f>(P197/'Population Figures'!P13)*1000</f>
        <v>44.401647675600493</v>
      </c>
      <c r="AA197" s="148">
        <f>(Q197/'Population Figures'!S13)*1000</f>
        <v>47.901987590703541</v>
      </c>
      <c r="AB197" s="148">
        <f>(R197/'Population Figures'!V13)*1000</f>
        <v>48.548187808896216</v>
      </c>
      <c r="AC197" s="148">
        <f>(S197/'Population Figures'!Y13)*1000</f>
        <v>44.899606497830696</v>
      </c>
      <c r="AD197" s="148">
        <f>(T197/'Population Figures'!AB13)*1000</f>
        <v>36.859207527038166</v>
      </c>
      <c r="AE197" s="148">
        <f>(U197/'Population Figures'!AE13)*1000</f>
        <v>26.095060577819197</v>
      </c>
      <c r="AF197" s="148">
        <f>(V197/'Population Figures'!AH13)*1000</f>
        <v>28.631157971277947</v>
      </c>
      <c r="AG197" s="148">
        <f>(W197/'Population Figures'!AK13)*1000</f>
        <v>19.006364922206508</v>
      </c>
    </row>
    <row r="198" spans="1:33">
      <c r="A198" s="91" t="s">
        <v>40</v>
      </c>
      <c r="B198" s="78">
        <v>1110</v>
      </c>
      <c r="C198" s="14">
        <v>1125</v>
      </c>
      <c r="D198" s="14">
        <v>1106</v>
      </c>
      <c r="E198" s="514">
        <v>1085</v>
      </c>
      <c r="F198" s="514">
        <v>1095</v>
      </c>
      <c r="G198" s="514">
        <v>1137</v>
      </c>
      <c r="H198" s="514">
        <v>1175</v>
      </c>
      <c r="I198" s="514">
        <v>1120</v>
      </c>
      <c r="J198" s="514">
        <v>1150</v>
      </c>
      <c r="K198">
        <v>1140</v>
      </c>
      <c r="N198" s="78">
        <f t="shared" si="2"/>
        <v>828</v>
      </c>
      <c r="O198" s="78">
        <f t="shared" si="3"/>
        <v>819</v>
      </c>
      <c r="P198" s="78">
        <f t="shared" si="4"/>
        <v>789</v>
      </c>
      <c r="Q198" s="78">
        <f t="shared" si="5"/>
        <v>767</v>
      </c>
      <c r="R198" s="78">
        <f t="shared" si="6"/>
        <v>779</v>
      </c>
      <c r="S198" s="78">
        <f t="shared" si="7"/>
        <v>779</v>
      </c>
      <c r="T198" s="78">
        <f t="shared" si="8"/>
        <v>769</v>
      </c>
      <c r="U198" s="78">
        <f t="shared" si="9"/>
        <v>700</v>
      </c>
      <c r="V198" s="91">
        <v>720</v>
      </c>
      <c r="W198">
        <v>750</v>
      </c>
      <c r="X198" s="148">
        <f>(N198/'Population Figures'!J14)*1000</f>
        <v>51.082731815657972</v>
      </c>
      <c r="Y198" s="148">
        <f>(O198/'Population Figures'!M14)*1000</f>
        <v>49.756986634264884</v>
      </c>
      <c r="Z198" s="148">
        <f>(P198/'Population Figures'!P14)*1000</f>
        <v>47.347575612097941</v>
      </c>
      <c r="AA198" s="148">
        <f>(Q198/'Population Figures'!S14)*1000</f>
        <v>45.373876005679129</v>
      </c>
      <c r="AB198" s="148">
        <f>(R198/'Population Figures'!V14)*1000</f>
        <v>45.114959170672385</v>
      </c>
      <c r="AC198" s="148">
        <f>(S198/'Population Figures'!Y14)*1000</f>
        <v>44.433036732831397</v>
      </c>
      <c r="AD198" s="148">
        <f>(T198/'Population Figures'!AB14)*1000</f>
        <v>42.934509519289826</v>
      </c>
      <c r="AE198" s="148">
        <f>(U198/'Population Figures'!AE14)*1000</f>
        <v>37.705359547535686</v>
      </c>
      <c r="AF198" s="148">
        <f>(V198/'Population Figures'!AH14)*1000</f>
        <v>37.696335078534034</v>
      </c>
      <c r="AG198" s="148">
        <f>(W198/'Population Figures'!AK14)*1000</f>
        <v>38.46942962659007</v>
      </c>
    </row>
    <row r="199" spans="1:33">
      <c r="A199" s="91" t="s">
        <v>41</v>
      </c>
      <c r="B199" s="78">
        <v>830</v>
      </c>
      <c r="C199" s="14">
        <v>884</v>
      </c>
      <c r="D199" s="14">
        <v>825</v>
      </c>
      <c r="E199" s="514">
        <v>832</v>
      </c>
      <c r="F199" s="514">
        <v>834</v>
      </c>
      <c r="G199" s="514">
        <v>861</v>
      </c>
      <c r="H199" s="514">
        <v>901</v>
      </c>
      <c r="I199" s="514">
        <v>940</v>
      </c>
      <c r="J199" s="514">
        <v>910</v>
      </c>
      <c r="K199">
        <v>900</v>
      </c>
      <c r="N199" s="78">
        <f t="shared" si="2"/>
        <v>607</v>
      </c>
      <c r="O199" s="78">
        <f t="shared" si="3"/>
        <v>660</v>
      </c>
      <c r="P199" s="78">
        <f t="shared" si="4"/>
        <v>584</v>
      </c>
      <c r="Q199" s="78">
        <f t="shared" si="5"/>
        <v>570</v>
      </c>
      <c r="R199" s="78">
        <f t="shared" si="6"/>
        <v>478</v>
      </c>
      <c r="S199" s="78">
        <f t="shared" si="7"/>
        <v>494</v>
      </c>
      <c r="T199" s="78">
        <f t="shared" si="8"/>
        <v>504</v>
      </c>
      <c r="U199" s="78">
        <f t="shared" si="9"/>
        <v>710</v>
      </c>
      <c r="V199" s="91">
        <v>680</v>
      </c>
      <c r="W199">
        <v>750</v>
      </c>
      <c r="X199" s="148">
        <f>(N199/'Population Figures'!J15)*1000</f>
        <v>40.496364000266865</v>
      </c>
      <c r="Y199" s="148">
        <f>(O199/'Population Figures'!M15)*1000</f>
        <v>43.287204040139038</v>
      </c>
      <c r="Z199" s="148">
        <f>(P199/'Population Figures'!P15)*1000</f>
        <v>38.030737171138313</v>
      </c>
      <c r="AA199" s="148">
        <f>(Q199/'Population Figures'!S15)*1000</f>
        <v>36.578322530963227</v>
      </c>
      <c r="AB199" s="148">
        <f>(R199/'Population Figures'!V15)*1000</f>
        <v>30.089386881530906</v>
      </c>
      <c r="AC199" s="148">
        <f>(S199/'Population Figures'!Y15)*1000</f>
        <v>30.685135722715696</v>
      </c>
      <c r="AD199" s="148">
        <f>(T199/'Population Figures'!AB15)*1000</f>
        <v>30.803080308030804</v>
      </c>
      <c r="AE199" s="148">
        <f>(U199/'Population Figures'!AE15)*1000</f>
        <v>41.996924168934108</v>
      </c>
      <c r="AF199" s="148">
        <f>(V199/'Population Figures'!AH15)*1000</f>
        <v>39.38832252085264</v>
      </c>
      <c r="AG199" s="148">
        <f>(W199/'Population Figures'!AK15)*1000</f>
        <v>42.399231160608288</v>
      </c>
    </row>
    <row r="200" spans="1:33">
      <c r="A200" s="91" t="s">
        <v>140</v>
      </c>
      <c r="B200" s="78">
        <v>4350</v>
      </c>
      <c r="C200" s="14">
        <v>3984</v>
      </c>
      <c r="D200" s="14">
        <v>3807</v>
      </c>
      <c r="E200" s="514">
        <v>3758</v>
      </c>
      <c r="F200" s="514">
        <v>3800</v>
      </c>
      <c r="G200" s="514">
        <v>3618</v>
      </c>
      <c r="H200" s="514">
        <v>3512</v>
      </c>
      <c r="I200" s="514">
        <v>3480</v>
      </c>
      <c r="J200" s="514">
        <v>3520</v>
      </c>
      <c r="K200">
        <v>3550</v>
      </c>
      <c r="N200" s="78">
        <f t="shared" si="2"/>
        <v>3405</v>
      </c>
      <c r="O200" s="78">
        <f t="shared" si="3"/>
        <v>2925</v>
      </c>
      <c r="P200" s="78">
        <f t="shared" si="4"/>
        <v>2744</v>
      </c>
      <c r="Q200" s="78">
        <f t="shared" si="5"/>
        <v>2653</v>
      </c>
      <c r="R200" s="78">
        <f t="shared" si="6"/>
        <v>2588</v>
      </c>
      <c r="S200" s="78">
        <f t="shared" si="7"/>
        <v>2376</v>
      </c>
      <c r="T200" s="78">
        <f t="shared" si="8"/>
        <v>2228</v>
      </c>
      <c r="U200" s="78">
        <f t="shared" si="9"/>
        <v>1990</v>
      </c>
      <c r="V200" s="91">
        <v>2030</v>
      </c>
      <c r="W200">
        <v>2020</v>
      </c>
      <c r="X200" s="148">
        <f>(N200/'Population Figures'!J16)*1000</f>
        <v>49.601584919952799</v>
      </c>
      <c r="Y200" s="148">
        <f>(O200/'Population Figures'!M16)*1000</f>
        <v>42.763783096244097</v>
      </c>
      <c r="Z200" s="148">
        <f>(P200/'Population Figures'!P16)*1000</f>
        <v>40.133387936582231</v>
      </c>
      <c r="AA200" s="148">
        <f>(Q200/'Population Figures'!S16)*1000</f>
        <v>38.667832677452267</v>
      </c>
      <c r="AB200" s="148">
        <f>(R200/'Population Figures'!V16)*1000</f>
        <v>37.526825590162979</v>
      </c>
      <c r="AC200" s="148">
        <f>(S200/'Population Figures'!Y16)*1000</f>
        <v>34.239764817777015</v>
      </c>
      <c r="AD200" s="148">
        <f>(T200/'Population Figures'!AB16)*1000</f>
        <v>32.369606276332995</v>
      </c>
      <c r="AE200" s="148">
        <f>(U200/'Population Figures'!AE16)*1000</f>
        <v>28.072452319151338</v>
      </c>
      <c r="AF200" s="148">
        <f>(V200/'Population Figures'!AH16)*1000</f>
        <v>28.102331247577386</v>
      </c>
      <c r="AG200" s="148">
        <f>(W200/'Population Figures'!AK16)*1000</f>
        <v>27.367936159546936</v>
      </c>
    </row>
    <row r="201" spans="1:33">
      <c r="A201" s="91" t="s">
        <v>42</v>
      </c>
      <c r="B201" s="78">
        <v>570</v>
      </c>
      <c r="C201" s="14">
        <v>563</v>
      </c>
      <c r="D201" s="14">
        <v>497</v>
      </c>
      <c r="E201" s="514">
        <v>492</v>
      </c>
      <c r="F201" s="514">
        <v>482</v>
      </c>
      <c r="G201" s="514">
        <v>445</v>
      </c>
      <c r="H201" s="514">
        <v>470</v>
      </c>
      <c r="I201" s="514">
        <v>470</v>
      </c>
      <c r="J201" s="514">
        <v>440</v>
      </c>
      <c r="K201">
        <v>430</v>
      </c>
      <c r="N201" s="78">
        <f t="shared" si="2"/>
        <v>424</v>
      </c>
      <c r="O201" s="78">
        <f t="shared" si="3"/>
        <v>405</v>
      </c>
      <c r="P201" s="78">
        <f t="shared" si="4"/>
        <v>332</v>
      </c>
      <c r="Q201" s="78">
        <f t="shared" si="5"/>
        <v>340</v>
      </c>
      <c r="R201" s="78">
        <f t="shared" si="6"/>
        <v>309</v>
      </c>
      <c r="S201" s="78">
        <f t="shared" si="7"/>
        <v>304</v>
      </c>
      <c r="T201" s="78">
        <f t="shared" si="8"/>
        <v>322</v>
      </c>
      <c r="U201" s="78">
        <f t="shared" si="9"/>
        <v>320</v>
      </c>
      <c r="V201" s="91">
        <v>290</v>
      </c>
      <c r="W201">
        <v>300</v>
      </c>
      <c r="X201" s="148">
        <f>(N201/'Population Figures'!J17)*1000</f>
        <v>79.252336448598143</v>
      </c>
      <c r="Y201" s="148">
        <f>(O201/'Population Figures'!M17)*1000</f>
        <v>74.861367837338264</v>
      </c>
      <c r="Z201" s="148">
        <f>(P201/'Population Figures'!P17)*1000</f>
        <v>61.051857300478119</v>
      </c>
      <c r="AA201" s="148">
        <f>(Q201/'Population Figures'!S17)*1000</f>
        <v>61.460592913955168</v>
      </c>
      <c r="AB201" s="148">
        <f>(R201/'Population Figures'!V17)*1000</f>
        <v>55.021367521367523</v>
      </c>
      <c r="AC201" s="148">
        <f>(S201/'Population Figures'!Y17)*1000</f>
        <v>53.643903299805892</v>
      </c>
      <c r="AD201" s="148">
        <f>(T201/'Population Figures'!AB17)*1000</f>
        <v>53.479488457066928</v>
      </c>
      <c r="AE201" s="148">
        <f>(U201/'Population Figures'!AE17)*1000</f>
        <v>51.813471502590673</v>
      </c>
      <c r="AF201" s="148">
        <f>(V201/'Population Figures'!AH17)*1000</f>
        <v>46.281519310564953</v>
      </c>
      <c r="AG201" s="148">
        <f>(W201/'Population Figures'!AK17)*1000</f>
        <v>46.540490226497056</v>
      </c>
    </row>
    <row r="202" spans="1:33">
      <c r="A202" s="91" t="s">
        <v>43</v>
      </c>
      <c r="B202" s="78">
        <v>1870</v>
      </c>
      <c r="C202" s="14">
        <v>1805</v>
      </c>
      <c r="D202" s="14">
        <v>1777</v>
      </c>
      <c r="E202" s="514">
        <v>1815</v>
      </c>
      <c r="F202" s="514">
        <v>1882</v>
      </c>
      <c r="G202" s="514">
        <v>1773</v>
      </c>
      <c r="H202" s="514">
        <v>1778</v>
      </c>
      <c r="I202" s="514">
        <v>1830</v>
      </c>
      <c r="J202" s="514">
        <v>1910</v>
      </c>
      <c r="K202">
        <v>1790</v>
      </c>
      <c r="N202" s="78">
        <f t="shared" si="2"/>
        <v>1455</v>
      </c>
      <c r="O202" s="78">
        <f t="shared" si="3"/>
        <v>1346</v>
      </c>
      <c r="P202" s="78">
        <f t="shared" si="4"/>
        <v>1338</v>
      </c>
      <c r="Q202" s="78">
        <f t="shared" si="5"/>
        <v>1380</v>
      </c>
      <c r="R202" s="78">
        <f t="shared" si="6"/>
        <v>1469</v>
      </c>
      <c r="S202" s="78">
        <f t="shared" si="7"/>
        <v>1356</v>
      </c>
      <c r="T202" s="78">
        <f t="shared" si="8"/>
        <v>1404</v>
      </c>
      <c r="U202" s="78">
        <f t="shared" si="9"/>
        <v>1440</v>
      </c>
      <c r="V202" s="91">
        <v>1520</v>
      </c>
      <c r="W202">
        <v>1490</v>
      </c>
      <c r="X202" s="148">
        <f>(N202/'Population Figures'!J18)*1000</f>
        <v>62.195434726853037</v>
      </c>
      <c r="Y202" s="148">
        <f>(O202/'Population Figures'!M18)*1000</f>
        <v>56.992844137697425</v>
      </c>
      <c r="Z202" s="148">
        <f>(P202/'Population Figures'!P18)*1000</f>
        <v>56.121806971184093</v>
      </c>
      <c r="AA202" s="148">
        <f>(Q202/'Population Figures'!S18)*1000</f>
        <v>56.879070150853188</v>
      </c>
      <c r="AB202" s="148">
        <f>(R202/'Population Figures'!V18)*1000</f>
        <v>59.608829735432558</v>
      </c>
      <c r="AC202" s="148">
        <f>(S202/'Population Figures'!Y18)*1000</f>
        <v>53.901498588861948</v>
      </c>
      <c r="AD202" s="148">
        <f>(T202/'Population Figures'!AB18)*1000</f>
        <v>55.108529261687011</v>
      </c>
      <c r="AE202" s="148">
        <f>(U202/'Population Figures'!AE18)*1000</f>
        <v>54.42176870748299</v>
      </c>
      <c r="AF202" s="148">
        <f>(V202/'Population Figures'!AH18)*1000</f>
        <v>55.894682650584684</v>
      </c>
      <c r="AG202" s="148">
        <f>(W202/'Population Figures'!AK18)*1000</f>
        <v>53.288508994671147</v>
      </c>
    </row>
    <row r="203" spans="1:33">
      <c r="A203" s="91" t="s">
        <v>44</v>
      </c>
      <c r="B203" s="78">
        <v>5680</v>
      </c>
      <c r="C203" s="14">
        <v>5570</v>
      </c>
      <c r="D203" s="14">
        <v>5064</v>
      </c>
      <c r="E203" s="514">
        <v>4590</v>
      </c>
      <c r="F203" s="514">
        <v>3614</v>
      </c>
      <c r="G203" s="514">
        <v>3200</v>
      </c>
      <c r="H203" s="514">
        <v>3103</v>
      </c>
      <c r="I203" s="514">
        <v>3040</v>
      </c>
      <c r="J203" s="514">
        <v>2750</v>
      </c>
      <c r="K203">
        <v>2500</v>
      </c>
      <c r="N203" s="78">
        <f t="shared" si="2"/>
        <v>5139</v>
      </c>
      <c r="O203" s="78">
        <f t="shared" si="3"/>
        <v>5015</v>
      </c>
      <c r="P203" s="78">
        <f t="shared" si="4"/>
        <v>4563</v>
      </c>
      <c r="Q203" s="78">
        <f t="shared" si="5"/>
        <v>4069</v>
      </c>
      <c r="R203" s="78">
        <f t="shared" si="6"/>
        <v>3196</v>
      </c>
      <c r="S203" s="78">
        <f t="shared" si="7"/>
        <v>2621</v>
      </c>
      <c r="T203" s="78">
        <f t="shared" si="8"/>
        <v>2496</v>
      </c>
      <c r="U203" s="78">
        <f t="shared" si="9"/>
        <v>2460</v>
      </c>
      <c r="V203" s="91">
        <v>2170</v>
      </c>
      <c r="W203">
        <v>1970</v>
      </c>
      <c r="X203" s="148">
        <f>(N203/'Population Figures'!J19)*1000</f>
        <v>86.766394272978999</v>
      </c>
      <c r="Y203" s="148">
        <f>(O203/'Population Figures'!M19)*1000</f>
        <v>83.806818181818173</v>
      </c>
      <c r="Z203" s="148">
        <f>(P203/'Population Figures'!P19)*1000</f>
        <v>75.233714200920019</v>
      </c>
      <c r="AA203" s="148">
        <f>(Q203/'Population Figures'!S19)*1000</f>
        <v>65.891535633896325</v>
      </c>
      <c r="AB203" s="148">
        <f>(R203/'Population Figures'!V19)*1000</f>
        <v>50.764001397757234</v>
      </c>
      <c r="AC203" s="148">
        <f>(S203/'Population Figures'!Y19)*1000</f>
        <v>40.816008720703884</v>
      </c>
      <c r="AD203" s="148">
        <f>(T203/'Population Figures'!AB19)*1000</f>
        <v>38.639565304890326</v>
      </c>
      <c r="AE203" s="148">
        <f>(U203/'Population Figures'!AE19)*1000</f>
        <v>36.632763986716903</v>
      </c>
      <c r="AF203" s="148">
        <f>(V203/'Population Figures'!AH19)*1000</f>
        <v>31.441984467369885</v>
      </c>
      <c r="AG203" s="148">
        <f>(W203/'Population Figures'!AK19)*1000</f>
        <v>27.721880584833176</v>
      </c>
    </row>
    <row r="204" spans="1:33">
      <c r="A204" s="91" t="s">
        <v>45</v>
      </c>
      <c r="B204" s="78">
        <v>7460</v>
      </c>
      <c r="C204" s="14">
        <v>7194</v>
      </c>
      <c r="D204" s="14">
        <v>6993</v>
      </c>
      <c r="E204" s="514">
        <v>6947</v>
      </c>
      <c r="F204" s="514">
        <v>6847</v>
      </c>
      <c r="G204" s="514">
        <v>6359</v>
      </c>
      <c r="H204" s="514">
        <v>6182</v>
      </c>
      <c r="I204" s="514">
        <v>5750</v>
      </c>
      <c r="J204" s="514">
        <v>5370</v>
      </c>
      <c r="K204">
        <v>5670</v>
      </c>
      <c r="N204" s="78">
        <f t="shared" si="2"/>
        <v>4794</v>
      </c>
      <c r="O204" s="78">
        <f t="shared" si="3"/>
        <v>4466</v>
      </c>
      <c r="P204" s="78">
        <f t="shared" si="4"/>
        <v>4251</v>
      </c>
      <c r="Q204" s="78">
        <f t="shared" si="5"/>
        <v>4277</v>
      </c>
      <c r="R204" s="78">
        <f t="shared" si="6"/>
        <v>4071</v>
      </c>
      <c r="S204" s="78">
        <f t="shared" si="7"/>
        <v>3715</v>
      </c>
      <c r="T204" s="78">
        <f t="shared" si="8"/>
        <v>3588</v>
      </c>
      <c r="U204" s="78">
        <f t="shared" si="9"/>
        <v>3510</v>
      </c>
      <c r="V204" s="91">
        <v>3140</v>
      </c>
      <c r="W204">
        <v>3130</v>
      </c>
      <c r="X204" s="148">
        <f>(N204/'Population Figures'!J20)*1000</f>
        <v>55.907357520204314</v>
      </c>
      <c r="Y204" s="148">
        <f>(O204/'Population Figures'!M20)*1000</f>
        <v>52.871467639015499</v>
      </c>
      <c r="Z204" s="148">
        <f>(P204/'Population Figures'!P20)*1000</f>
        <v>51.060609700434817</v>
      </c>
      <c r="AA204" s="148">
        <f>(Q204/'Population Figures'!S20)*1000</f>
        <v>51.885819655226797</v>
      </c>
      <c r="AB204" s="148">
        <f>(R204/'Population Figures'!V20)*1000</f>
        <v>49.923967428627485</v>
      </c>
      <c r="AC204" s="148">
        <f>(S204/'Population Figures'!Y20)*1000</f>
        <v>45.941901735033326</v>
      </c>
      <c r="AD204" s="148">
        <f>(T204/'Population Figures'!AB20)*1000</f>
        <v>43.622569938359412</v>
      </c>
      <c r="AE204" s="148">
        <f>(U204/'Population Figures'!AE20)*1000</f>
        <v>42.310566792834933</v>
      </c>
      <c r="AF204" s="148">
        <f>(V204/'Population Figures'!AH20)*1000</f>
        <v>37.744467550576388</v>
      </c>
      <c r="AG204" s="148">
        <f>(W204/'Population Figures'!AK20)*1000</f>
        <v>37.470221349646245</v>
      </c>
    </row>
    <row r="205" spans="1:33">
      <c r="A205" s="91" t="s">
        <v>46</v>
      </c>
      <c r="B205" s="78">
        <v>2250</v>
      </c>
      <c r="C205" s="14">
        <v>1927</v>
      </c>
      <c r="D205" s="14">
        <v>1837</v>
      </c>
      <c r="E205" s="514">
        <v>1836</v>
      </c>
      <c r="F205" s="514">
        <v>1812</v>
      </c>
      <c r="G205" s="514">
        <v>1739</v>
      </c>
      <c r="H205" s="514">
        <v>1680</v>
      </c>
      <c r="I205" s="514">
        <v>1640</v>
      </c>
      <c r="J205" s="514">
        <v>1750</v>
      </c>
      <c r="K205">
        <v>1650</v>
      </c>
      <c r="N205" s="78">
        <f t="shared" si="2"/>
        <v>1888</v>
      </c>
      <c r="O205" s="78">
        <f t="shared" si="3"/>
        <v>1656</v>
      </c>
      <c r="P205" s="78">
        <f t="shared" si="4"/>
        <v>1536</v>
      </c>
      <c r="Q205" s="78">
        <f t="shared" si="5"/>
        <v>1487</v>
      </c>
      <c r="R205" s="78">
        <f t="shared" si="6"/>
        <v>1435</v>
      </c>
      <c r="S205" s="78">
        <f t="shared" si="7"/>
        <v>1369</v>
      </c>
      <c r="T205" s="78">
        <f t="shared" si="8"/>
        <v>1307</v>
      </c>
      <c r="U205" s="78">
        <f t="shared" si="9"/>
        <v>1250</v>
      </c>
      <c r="V205" s="91">
        <v>1360</v>
      </c>
      <c r="W205">
        <v>1240</v>
      </c>
      <c r="X205" s="148">
        <f>(N205/'Population Figures'!J21)*1000</f>
        <v>50.373532550693703</v>
      </c>
      <c r="Y205" s="148">
        <f>(O205/'Population Figures'!M21)*1000</f>
        <v>43.536556510765834</v>
      </c>
      <c r="Z205" s="148">
        <f>(P205/'Population Figures'!P21)*1000</f>
        <v>39.560099930460758</v>
      </c>
      <c r="AA205" s="148">
        <f>(Q205/'Population Figures'!S21)*1000</f>
        <v>37.302761959712015</v>
      </c>
      <c r="AB205" s="148">
        <f>(R205/'Population Figures'!V21)*1000</f>
        <v>35.107892547829913</v>
      </c>
      <c r="AC205" s="148">
        <f>(S205/'Population Figures'!Y21)*1000</f>
        <v>32.8470655981573</v>
      </c>
      <c r="AD205" s="148">
        <f>(T205/'Population Figures'!AB21)*1000</f>
        <v>30.098563006632276</v>
      </c>
      <c r="AE205" s="148">
        <f>(U205/'Population Figures'!AE21)*1000</f>
        <v>27.748179719410409</v>
      </c>
      <c r="AF205" s="148">
        <f>(V205/'Population Figures'!AH21)*1000</f>
        <v>29.221546593326313</v>
      </c>
      <c r="AG205" s="148">
        <f>(W205/'Population Figures'!AK21)*1000</f>
        <v>25.825262938665002</v>
      </c>
    </row>
    <row r="206" spans="1:33">
      <c r="A206" s="91" t="s">
        <v>47</v>
      </c>
      <c r="B206" s="78">
        <v>980</v>
      </c>
      <c r="C206" s="14">
        <v>1086</v>
      </c>
      <c r="D206" s="14">
        <v>1124</v>
      </c>
      <c r="E206" s="514">
        <v>1141</v>
      </c>
      <c r="F206" s="514">
        <v>1151</v>
      </c>
      <c r="G206" s="514">
        <v>1112</v>
      </c>
      <c r="H206" s="514">
        <v>1096</v>
      </c>
      <c r="I206" s="514">
        <v>1160</v>
      </c>
      <c r="J206" s="514">
        <v>1140</v>
      </c>
      <c r="K206">
        <v>1060</v>
      </c>
      <c r="N206" s="78">
        <f t="shared" si="2"/>
        <v>659</v>
      </c>
      <c r="O206" s="78">
        <f t="shared" si="3"/>
        <v>719</v>
      </c>
      <c r="P206" s="78">
        <f t="shared" si="4"/>
        <v>707</v>
      </c>
      <c r="Q206" s="78">
        <f t="shared" si="5"/>
        <v>739</v>
      </c>
      <c r="R206" s="78">
        <f t="shared" si="6"/>
        <v>685</v>
      </c>
      <c r="S206" s="78">
        <f t="shared" si="7"/>
        <v>716</v>
      </c>
      <c r="T206" s="78">
        <f t="shared" si="8"/>
        <v>759</v>
      </c>
      <c r="U206" s="78">
        <f t="shared" si="9"/>
        <v>850</v>
      </c>
      <c r="V206" s="91">
        <v>840</v>
      </c>
      <c r="W206">
        <v>700</v>
      </c>
      <c r="X206" s="148">
        <f>(N206/'Population Figures'!J22)*1000</f>
        <v>46.9506982046167</v>
      </c>
      <c r="Y206" s="148">
        <f>(O206/'Population Figures'!M22)*1000</f>
        <v>51.003759665176986</v>
      </c>
      <c r="Z206" s="148">
        <f>(P206/'Population Figures'!P22)*1000</f>
        <v>50.092107127674652</v>
      </c>
      <c r="AA206" s="148">
        <f>(Q206/'Population Figures'!S22)*1000</f>
        <v>51.91064905872436</v>
      </c>
      <c r="AB206" s="148">
        <f>(R206/'Population Figures'!V22)*1000</f>
        <v>47.688666109718739</v>
      </c>
      <c r="AC206" s="148">
        <f>(S206/'Population Figures'!Y22)*1000</f>
        <v>49.567324333679473</v>
      </c>
      <c r="AD206" s="148">
        <f>(T206/'Population Figures'!AB22)*1000</f>
        <v>51.155894048662127</v>
      </c>
      <c r="AE206" s="148">
        <f>(U206/'Population Figures'!AE22)*1000</f>
        <v>55.917373856983097</v>
      </c>
      <c r="AF206" s="148">
        <f>(V206/'Population Figures'!AH22)*1000</f>
        <v>54.439403758911212</v>
      </c>
      <c r="AG206" s="148">
        <f>(W206/'Population Figures'!AK22)*1000</f>
        <v>44.611560767318842</v>
      </c>
    </row>
    <row r="207" spans="1:33">
      <c r="A207" s="91" t="s">
        <v>48</v>
      </c>
      <c r="B207" s="78">
        <v>970</v>
      </c>
      <c r="C207" s="14">
        <v>869</v>
      </c>
      <c r="D207" s="14">
        <v>854</v>
      </c>
      <c r="E207" s="514">
        <v>816</v>
      </c>
      <c r="F207" s="514">
        <v>733</v>
      </c>
      <c r="G207" s="514">
        <v>761</v>
      </c>
      <c r="H207" s="514">
        <v>809</v>
      </c>
      <c r="I207" s="514">
        <v>810</v>
      </c>
      <c r="J207" s="514">
        <v>780</v>
      </c>
      <c r="K207">
        <v>650</v>
      </c>
      <c r="N207" s="78">
        <f t="shared" si="2"/>
        <v>760</v>
      </c>
      <c r="O207" s="78">
        <f t="shared" si="3"/>
        <v>649</v>
      </c>
      <c r="P207" s="78">
        <f t="shared" si="4"/>
        <v>570</v>
      </c>
      <c r="Q207" s="78">
        <f t="shared" si="5"/>
        <v>575</v>
      </c>
      <c r="R207" s="78">
        <f t="shared" si="6"/>
        <v>494</v>
      </c>
      <c r="S207" s="78">
        <f t="shared" si="7"/>
        <v>519</v>
      </c>
      <c r="T207" s="78">
        <f t="shared" si="8"/>
        <v>548</v>
      </c>
      <c r="U207" s="78">
        <f t="shared" si="9"/>
        <v>560</v>
      </c>
      <c r="V207" s="91">
        <v>520</v>
      </c>
      <c r="W207">
        <v>470</v>
      </c>
      <c r="X207" s="148">
        <f>(N207/'Population Figures'!J23)*1000</f>
        <v>60.586734693877546</v>
      </c>
      <c r="Y207" s="148">
        <f>(O207/'Population Figures'!M23)*1000</f>
        <v>51.344936708860764</v>
      </c>
      <c r="Z207" s="148">
        <f>(P207/'Population Figures'!P23)*1000</f>
        <v>44.628875665518322</v>
      </c>
      <c r="AA207" s="148">
        <f>(Q207/'Population Figures'!S23)*1000</f>
        <v>44.319408046862954</v>
      </c>
      <c r="AB207" s="148">
        <f>(R207/'Population Figures'!V23)*1000</f>
        <v>37.238052163425294</v>
      </c>
      <c r="AC207" s="148">
        <f>(S207/'Population Figures'!Y23)*1000</f>
        <v>38.058223949549017</v>
      </c>
      <c r="AD207" s="148">
        <f>(T207/'Population Figures'!AB23)*1000</f>
        <v>38.93704703708967</v>
      </c>
      <c r="AE207" s="148">
        <f>(U207/'Population Figures'!AE23)*1000</f>
        <v>38.082284937096226</v>
      </c>
      <c r="AF207" s="148">
        <f>(V207/'Population Figures'!AH23)*1000</f>
        <v>34.346103038309117</v>
      </c>
      <c r="AG207" s="148">
        <f>(W207/'Population Figures'!AK23)*1000</f>
        <v>30.103119195542178</v>
      </c>
    </row>
    <row r="208" spans="1:33">
      <c r="A208" s="91" t="s">
        <v>49</v>
      </c>
      <c r="B208" s="78">
        <v>1090</v>
      </c>
      <c r="C208" s="14">
        <v>1114</v>
      </c>
      <c r="D208" s="14">
        <v>1120</v>
      </c>
      <c r="E208" s="514">
        <v>1049</v>
      </c>
      <c r="F208" s="514">
        <v>980</v>
      </c>
      <c r="G208" s="514">
        <v>1032</v>
      </c>
      <c r="H208" s="514">
        <v>1050</v>
      </c>
      <c r="I208" s="514">
        <v>1050</v>
      </c>
      <c r="J208" s="514">
        <v>1070</v>
      </c>
      <c r="K208">
        <v>1000</v>
      </c>
      <c r="N208" s="78">
        <f t="shared" si="2"/>
        <v>874</v>
      </c>
      <c r="O208" s="78">
        <f t="shared" si="3"/>
        <v>889</v>
      </c>
      <c r="P208" s="78">
        <f t="shared" si="4"/>
        <v>871</v>
      </c>
      <c r="Q208" s="78">
        <f t="shared" si="5"/>
        <v>760</v>
      </c>
      <c r="R208" s="78">
        <f t="shared" si="6"/>
        <v>682</v>
      </c>
      <c r="S208" s="78">
        <f t="shared" si="7"/>
        <v>714</v>
      </c>
      <c r="T208" s="78">
        <f t="shared" si="8"/>
        <v>708</v>
      </c>
      <c r="U208" s="78">
        <f t="shared" si="9"/>
        <v>670</v>
      </c>
      <c r="V208" s="91">
        <v>700</v>
      </c>
      <c r="W208">
        <v>650</v>
      </c>
      <c r="X208" s="148">
        <f>(N208/'Population Figures'!J24)*1000</f>
        <v>57.712625462229262</v>
      </c>
      <c r="Y208" s="148">
        <f>(O208/'Population Figures'!M24)*1000</f>
        <v>58.241614255765199</v>
      </c>
      <c r="Z208" s="148">
        <f>(P208/'Population Figures'!P24)*1000</f>
        <v>55.980461469246094</v>
      </c>
      <c r="AA208" s="148">
        <f>(Q208/'Population Figures'!S24)*1000</f>
        <v>47.705730964785637</v>
      </c>
      <c r="AB208" s="148">
        <f>(R208/'Population Figures'!V24)*1000</f>
        <v>41.94857916102842</v>
      </c>
      <c r="AC208" s="148">
        <f>(S208/'Population Figures'!Y24)*1000</f>
        <v>43.025007532389274</v>
      </c>
      <c r="AD208" s="148">
        <f>(T208/'Population Figures'!AB24)*1000</f>
        <v>40.759930915371328</v>
      </c>
      <c r="AE208" s="148">
        <f>(U208/'Population Figures'!AE24)*1000</f>
        <v>37.321746880570409</v>
      </c>
      <c r="AF208" s="148">
        <f>(V208/'Population Figures'!AH24)*1000</f>
        <v>37.876738271738539</v>
      </c>
      <c r="AG208" s="148">
        <f>(W208/'Population Figures'!AK24)*1000</f>
        <v>34.210526315789473</v>
      </c>
    </row>
    <row r="209" spans="1:33">
      <c r="A209" s="91" t="s">
        <v>50</v>
      </c>
      <c r="B209" s="78">
        <v>1170</v>
      </c>
      <c r="C209" s="14">
        <v>1219</v>
      </c>
      <c r="D209" s="14">
        <v>1383</v>
      </c>
      <c r="E209" s="514">
        <v>1492</v>
      </c>
      <c r="F209" s="514">
        <v>1303</v>
      </c>
      <c r="G209" s="514">
        <v>1326</v>
      </c>
      <c r="H209" s="514">
        <v>1435</v>
      </c>
      <c r="I209" s="514">
        <v>1570</v>
      </c>
      <c r="J209" s="514">
        <v>1620</v>
      </c>
      <c r="K209">
        <v>1660</v>
      </c>
      <c r="N209" s="78">
        <f t="shared" si="2"/>
        <v>872</v>
      </c>
      <c r="O209" s="78">
        <f t="shared" si="3"/>
        <v>887</v>
      </c>
      <c r="P209" s="78">
        <f t="shared" si="4"/>
        <v>960</v>
      </c>
      <c r="Q209" s="78">
        <f t="shared" si="5"/>
        <v>1014</v>
      </c>
      <c r="R209" s="78">
        <f t="shared" si="6"/>
        <v>907</v>
      </c>
      <c r="S209" s="78">
        <f t="shared" si="7"/>
        <v>914</v>
      </c>
      <c r="T209" s="78">
        <f t="shared" si="8"/>
        <v>900</v>
      </c>
      <c r="U209" s="78">
        <f t="shared" si="9"/>
        <v>940</v>
      </c>
      <c r="V209" s="91">
        <v>1000</v>
      </c>
      <c r="W209">
        <v>1020</v>
      </c>
      <c r="X209" s="148">
        <f>(N209/'Population Figures'!J25)*1000</f>
        <v>37.260180318762558</v>
      </c>
      <c r="Y209" s="148">
        <f>(O209/'Population Figures'!M25)*1000</f>
        <v>37.549741766150198</v>
      </c>
      <c r="Z209" s="148">
        <f>(P209/'Population Figures'!P25)*1000</f>
        <v>40.038370104683658</v>
      </c>
      <c r="AA209" s="148">
        <f>(Q209/'Population Figures'!S25)*1000</f>
        <v>41.569302668798429</v>
      </c>
      <c r="AB209" s="148">
        <f>(R209/'Population Figures'!V25)*1000</f>
        <v>36.47844272844273</v>
      </c>
      <c r="AC209" s="148">
        <f>(S209/'Population Figures'!Y25)*1000</f>
        <v>36.10650233072608</v>
      </c>
      <c r="AD209" s="148">
        <f>(T209/'Population Figures'!AB25)*1000</f>
        <v>34.537012164703171</v>
      </c>
      <c r="AE209" s="148">
        <f>(U209/'Population Figures'!AE25)*1000</f>
        <v>34.70940107820693</v>
      </c>
      <c r="AF209" s="148">
        <f>(V209/'Population Figures'!AH25)*1000</f>
        <v>35.954409808362996</v>
      </c>
      <c r="AG209" s="148">
        <f>(W209/'Population Figures'!AK25)*1000</f>
        <v>35.802035802035803</v>
      </c>
    </row>
    <row r="210" spans="1:33">
      <c r="A210" s="91" t="s">
        <v>51</v>
      </c>
      <c r="B210" s="78">
        <v>3390</v>
      </c>
      <c r="C210" s="14">
        <v>3380</v>
      </c>
      <c r="D210" s="14">
        <v>3202</v>
      </c>
      <c r="E210" s="514">
        <v>3140</v>
      </c>
      <c r="F210" s="514">
        <v>3005</v>
      </c>
      <c r="G210" s="514">
        <v>2836</v>
      </c>
      <c r="H210" s="514">
        <v>2799</v>
      </c>
      <c r="I210" s="514">
        <v>2840</v>
      </c>
      <c r="J210" s="514">
        <v>2960</v>
      </c>
      <c r="K210">
        <v>3090</v>
      </c>
      <c r="N210" s="78">
        <f t="shared" si="2"/>
        <v>2299</v>
      </c>
      <c r="O210" s="78">
        <f t="shared" si="3"/>
        <v>2294</v>
      </c>
      <c r="P210" s="78">
        <f t="shared" si="4"/>
        <v>2136</v>
      </c>
      <c r="Q210" s="78">
        <f t="shared" si="5"/>
        <v>2074</v>
      </c>
      <c r="R210" s="78">
        <f t="shared" si="6"/>
        <v>1916</v>
      </c>
      <c r="S210" s="78">
        <f t="shared" si="7"/>
        <v>1844</v>
      </c>
      <c r="T210" s="78">
        <f t="shared" si="8"/>
        <v>1796</v>
      </c>
      <c r="U210" s="78">
        <f t="shared" si="9"/>
        <v>1620</v>
      </c>
      <c r="V210" s="91">
        <v>1730</v>
      </c>
      <c r="W210">
        <v>1780</v>
      </c>
      <c r="X210" s="148">
        <f>(N210/'Population Figures'!J26)*1000</f>
        <v>49.140731874145004</v>
      </c>
      <c r="Y210" s="148">
        <f>(O210/'Population Figures'!M26)*1000</f>
        <v>48.621267035459184</v>
      </c>
      <c r="Z210" s="148">
        <f>(P210/'Population Figures'!P26)*1000</f>
        <v>45.007269432562843</v>
      </c>
      <c r="AA210" s="148">
        <f>(Q210/'Population Figures'!S26)*1000</f>
        <v>43.037081612749269</v>
      </c>
      <c r="AB210" s="148">
        <f>(R210/'Population Figures'!V26)*1000</f>
        <v>39.02796732731754</v>
      </c>
      <c r="AC210" s="148">
        <f>(S210/'Population Figures'!Y26)*1000</f>
        <v>37.175170856601419</v>
      </c>
      <c r="AD210" s="148">
        <f>(T210/'Population Figures'!AB26)*1000</f>
        <v>35.388465251916216</v>
      </c>
      <c r="AE210" s="148">
        <f>(U210/'Population Figures'!AE26)*1000</f>
        <v>30.960935708279184</v>
      </c>
      <c r="AF210" s="148">
        <f>(V210/'Population Figures'!AH26)*1000</f>
        <v>32.328593052155554</v>
      </c>
      <c r="AG210" s="148">
        <f>(W210/'Population Figures'!AK26)*1000</f>
        <v>32.486494378741426</v>
      </c>
    </row>
    <row r="211" spans="1:33">
      <c r="A211" s="91" t="s">
        <v>52</v>
      </c>
      <c r="B211" s="78">
        <v>410</v>
      </c>
      <c r="C211" s="14">
        <v>302</v>
      </c>
      <c r="D211" s="14">
        <v>248</v>
      </c>
      <c r="E211" s="514">
        <v>243</v>
      </c>
      <c r="F211" s="514">
        <v>258</v>
      </c>
      <c r="G211" s="514">
        <v>233</v>
      </c>
      <c r="H211" s="514">
        <v>217</v>
      </c>
      <c r="I211" s="514">
        <v>210</v>
      </c>
      <c r="J211" s="514">
        <v>240</v>
      </c>
      <c r="K211">
        <v>230</v>
      </c>
      <c r="N211" s="78">
        <f t="shared" si="2"/>
        <v>330</v>
      </c>
      <c r="O211" s="78">
        <f t="shared" si="3"/>
        <v>239</v>
      </c>
      <c r="P211" s="78">
        <f t="shared" si="4"/>
        <v>180</v>
      </c>
      <c r="Q211" s="78">
        <f t="shared" si="5"/>
        <v>186</v>
      </c>
      <c r="R211" s="78">
        <f t="shared" si="6"/>
        <v>213</v>
      </c>
      <c r="S211" s="78">
        <f t="shared" si="7"/>
        <v>188</v>
      </c>
      <c r="T211" s="78">
        <f t="shared" si="8"/>
        <v>176</v>
      </c>
      <c r="U211" s="78">
        <f t="shared" si="9"/>
        <v>150</v>
      </c>
      <c r="V211" s="91">
        <v>180</v>
      </c>
      <c r="W211" t="s">
        <v>384</v>
      </c>
      <c r="X211" s="148">
        <f>(N211/'Population Figures'!J27)*1000</f>
        <v>93.299406276505508</v>
      </c>
      <c r="Y211" s="148">
        <f>(O211/'Population Figures'!M27)*1000</f>
        <v>66.722501395868235</v>
      </c>
      <c r="Z211" s="148">
        <f>(P211/'Population Figures'!P27)*1000</f>
        <v>48.688125507167975</v>
      </c>
      <c r="AA211" s="148">
        <f>(Q211/'Population Figures'!S27)*1000</f>
        <v>49.128367670364497</v>
      </c>
      <c r="AB211" s="148">
        <f>(R211/'Population Figures'!V27)*1000</f>
        <v>54.755784061696659</v>
      </c>
      <c r="AC211" s="148">
        <f>(S211/'Population Figures'!Y27)*1000</f>
        <v>47.188755020080315</v>
      </c>
      <c r="AD211" s="148">
        <f>(T211/'Population Figures'!AB27)*1000</f>
        <v>41.22745373623799</v>
      </c>
      <c r="AE211" s="148">
        <f>(U211/'Population Figures'!AE27)*1000</f>
        <v>33.707865168539328</v>
      </c>
      <c r="AF211" s="148">
        <f>(V211/'Population Figures'!AH27)*1000</f>
        <v>39.473684210526315</v>
      </c>
      <c r="AG211" s="148" t="s">
        <v>384</v>
      </c>
    </row>
    <row r="212" spans="1:33">
      <c r="A212" s="91" t="s">
        <v>53</v>
      </c>
      <c r="B212" s="78">
        <v>1100</v>
      </c>
      <c r="C212" s="14">
        <v>1078</v>
      </c>
      <c r="D212" s="14">
        <v>1080</v>
      </c>
      <c r="E212" s="514">
        <v>1111</v>
      </c>
      <c r="F212" s="514">
        <v>1394</v>
      </c>
      <c r="G212" s="514">
        <v>1385</v>
      </c>
      <c r="H212" s="514">
        <v>1227</v>
      </c>
      <c r="I212" s="514">
        <v>1100</v>
      </c>
      <c r="J212" s="514">
        <v>1230</v>
      </c>
      <c r="K212">
        <v>1190</v>
      </c>
      <c r="N212" s="78">
        <f t="shared" si="2"/>
        <v>845</v>
      </c>
      <c r="O212" s="78">
        <f t="shared" si="3"/>
        <v>831</v>
      </c>
      <c r="P212" s="78">
        <f t="shared" si="4"/>
        <v>814</v>
      </c>
      <c r="Q212" s="78">
        <f t="shared" si="5"/>
        <v>853</v>
      </c>
      <c r="R212" s="78">
        <f t="shared" si="6"/>
        <v>1093</v>
      </c>
      <c r="S212" s="78">
        <f t="shared" si="7"/>
        <v>1051</v>
      </c>
      <c r="T212" s="78">
        <f t="shared" si="8"/>
        <v>918</v>
      </c>
      <c r="U212" s="78">
        <f t="shared" si="9"/>
        <v>780</v>
      </c>
      <c r="V212" s="91">
        <v>900</v>
      </c>
      <c r="W212">
        <v>910</v>
      </c>
      <c r="X212" s="148">
        <f>(N212/'Population Figures'!J28)*1000</f>
        <v>31.56990211462303</v>
      </c>
      <c r="Y212" s="148">
        <f>(O212/'Population Figures'!M28)*1000</f>
        <v>30.773218782402605</v>
      </c>
      <c r="Z212" s="148">
        <f>(P212/'Population Figures'!P28)*1000</f>
        <v>29.635562675210252</v>
      </c>
      <c r="AA212" s="148">
        <f>(Q212/'Population Figures'!S28)*1000</f>
        <v>30.463197742937755</v>
      </c>
      <c r="AB212" s="148">
        <f>(R212/'Population Figures'!V28)*1000</f>
        <v>38.352222885013511</v>
      </c>
      <c r="AC212" s="148">
        <f>(S212/'Population Figures'!Y28)*1000</f>
        <v>36.108152678049954</v>
      </c>
      <c r="AD212" s="148">
        <f>(T212/'Population Figures'!AB28)*1000</f>
        <v>30.764075067024127</v>
      </c>
      <c r="AE212" s="148">
        <f>(U212/'Population Figures'!AE28)*1000</f>
        <v>25.183224098408292</v>
      </c>
      <c r="AF212" s="148">
        <f>(V212/'Population Figures'!AH28)*1000</f>
        <v>28.359855049629747</v>
      </c>
      <c r="AG212" s="148">
        <f>(W212/'Population Figures'!AK28)*1000</f>
        <v>27.986222167548281</v>
      </c>
    </row>
    <row r="213" spans="1:33">
      <c r="A213" s="91" t="s">
        <v>54</v>
      </c>
      <c r="B213" s="78">
        <v>1500</v>
      </c>
      <c r="C213" s="14">
        <v>1529</v>
      </c>
      <c r="D213" s="14">
        <v>1490</v>
      </c>
      <c r="E213" s="514">
        <v>1518</v>
      </c>
      <c r="F213" s="514">
        <v>1526</v>
      </c>
      <c r="G213" s="514">
        <v>1293</v>
      </c>
      <c r="H213" s="514">
        <v>1296</v>
      </c>
      <c r="I213" s="514">
        <v>1370</v>
      </c>
      <c r="J213" s="514">
        <v>1520</v>
      </c>
      <c r="K213">
        <v>1740</v>
      </c>
      <c r="N213" s="78">
        <f t="shared" si="2"/>
        <v>1123</v>
      </c>
      <c r="O213" s="78">
        <f t="shared" si="3"/>
        <v>1127</v>
      </c>
      <c r="P213" s="78">
        <f t="shared" si="4"/>
        <v>1015</v>
      </c>
      <c r="Q213" s="78">
        <f t="shared" si="5"/>
        <v>1213</v>
      </c>
      <c r="R213" s="78">
        <f t="shared" si="6"/>
        <v>1251</v>
      </c>
      <c r="S213" s="78">
        <f t="shared" si="7"/>
        <v>1013</v>
      </c>
      <c r="T213" s="78">
        <f t="shared" si="8"/>
        <v>1000</v>
      </c>
      <c r="U213" s="78">
        <f t="shared" si="9"/>
        <v>940</v>
      </c>
      <c r="V213" s="91">
        <v>1100</v>
      </c>
      <c r="W213">
        <v>1290</v>
      </c>
      <c r="X213" s="148">
        <f>(N213/'Population Figures'!J29)*1000</f>
        <v>41.370418124884878</v>
      </c>
      <c r="Y213" s="148">
        <f>(O213/'Population Figures'!M29)*1000</f>
        <v>41.321405001099954</v>
      </c>
      <c r="Z213" s="148">
        <f>(P213/'Population Figures'!P29)*1000</f>
        <v>36.921174202466261</v>
      </c>
      <c r="AA213" s="148">
        <f>(Q213/'Population Figures'!S29)*1000</f>
        <v>43.633093525179859</v>
      </c>
      <c r="AB213" s="148">
        <f>(R213/'Population Figures'!V29)*1000</f>
        <v>44.352265475430762</v>
      </c>
      <c r="AC213" s="148">
        <f>(S213/'Population Figures'!Y29)*1000</f>
        <v>35.647675687088714</v>
      </c>
      <c r="AD213" s="148">
        <f>(T213/'Population Figures'!AB29)*1000</f>
        <v>33.740468317700248</v>
      </c>
      <c r="AE213" s="148">
        <f>(U213/'Population Figures'!AE29)*1000</f>
        <v>30.752118297510386</v>
      </c>
      <c r="AF213" s="148">
        <f>(V213/'Population Figures'!AH29)*1000</f>
        <v>35.400508480030894</v>
      </c>
      <c r="AG213" s="148">
        <f>(W213/'Population Figures'!AK29)*1000</f>
        <v>40.628641617586851</v>
      </c>
    </row>
    <row r="214" spans="1:33">
      <c r="A214" s="91" t="s">
        <v>55</v>
      </c>
      <c r="B214" s="78">
        <v>1280</v>
      </c>
      <c r="C214" s="14">
        <v>1156</v>
      </c>
      <c r="D214" s="14">
        <v>1096</v>
      </c>
      <c r="E214" s="514">
        <v>1216</v>
      </c>
      <c r="F214" s="514">
        <v>1203</v>
      </c>
      <c r="G214" s="514">
        <v>1208</v>
      </c>
      <c r="H214" s="514">
        <v>1255</v>
      </c>
      <c r="I214" s="514">
        <v>1270</v>
      </c>
      <c r="J214" s="514">
        <v>1260</v>
      </c>
      <c r="K214">
        <v>1170</v>
      </c>
      <c r="N214" s="78">
        <f t="shared" si="2"/>
        <v>975</v>
      </c>
      <c r="O214" s="78">
        <f t="shared" si="3"/>
        <v>876</v>
      </c>
      <c r="P214" s="78">
        <f t="shared" si="4"/>
        <v>829</v>
      </c>
      <c r="Q214" s="78">
        <f t="shared" si="5"/>
        <v>910</v>
      </c>
      <c r="R214" s="78">
        <f t="shared" si="6"/>
        <v>839</v>
      </c>
      <c r="S214" s="78">
        <f t="shared" si="7"/>
        <v>911</v>
      </c>
      <c r="T214" s="78">
        <f t="shared" si="8"/>
        <v>920</v>
      </c>
      <c r="U214" s="78">
        <f t="shared" si="9"/>
        <v>1030</v>
      </c>
      <c r="V214" s="91">
        <v>1030</v>
      </c>
      <c r="W214">
        <v>940</v>
      </c>
      <c r="X214" s="148">
        <f>(N214/'Population Figures'!J30)*1000</f>
        <v>46.036167902167243</v>
      </c>
      <c r="Y214" s="148">
        <f>(O214/'Population Figures'!M30)*1000</f>
        <v>41.202201213489488</v>
      </c>
      <c r="Z214" s="148">
        <f>(P214/'Population Figures'!P30)*1000</f>
        <v>38.484750011605776</v>
      </c>
      <c r="AA214" s="148">
        <f>(Q214/'Population Figures'!S30)*1000</f>
        <v>41.365516614391566</v>
      </c>
      <c r="AB214" s="148">
        <f>(R214/'Population Figures'!V30)*1000</f>
        <v>37.269012082444917</v>
      </c>
      <c r="AC214" s="148">
        <f>(S214/'Population Figures'!Y30)*1000</f>
        <v>39.816433566433567</v>
      </c>
      <c r="AD214" s="148">
        <f>(T214/'Population Figures'!AB30)*1000</f>
        <v>38.397328881469114</v>
      </c>
      <c r="AE214" s="148">
        <f>(U214/'Population Figures'!AE30)*1000</f>
        <v>41.305742701315367</v>
      </c>
      <c r="AF214" s="148">
        <f>(V214/'Population Figures'!AH30)*1000</f>
        <v>40.074702357793164</v>
      </c>
      <c r="AG214" s="148">
        <f>(W214/'Population Figures'!AK30)*1000</f>
        <v>35.699365766586915</v>
      </c>
    </row>
    <row r="215" spans="1:33">
      <c r="A215" s="91" t="s">
        <v>56</v>
      </c>
      <c r="B215" s="78">
        <v>470</v>
      </c>
      <c r="C215" s="14">
        <v>429</v>
      </c>
      <c r="D215" s="14">
        <v>400</v>
      </c>
      <c r="E215" s="514">
        <v>423</v>
      </c>
      <c r="F215" s="514">
        <v>412</v>
      </c>
      <c r="G215" s="514">
        <v>449</v>
      </c>
      <c r="H215" s="514">
        <v>419</v>
      </c>
      <c r="I215" s="514">
        <v>400</v>
      </c>
      <c r="J215" s="514">
        <v>350</v>
      </c>
      <c r="K215">
        <v>310</v>
      </c>
      <c r="N215" s="78">
        <f t="shared" si="2"/>
        <v>393</v>
      </c>
      <c r="O215" s="78">
        <f t="shared" si="3"/>
        <v>344</v>
      </c>
      <c r="P215" s="78">
        <f t="shared" si="4"/>
        <v>300</v>
      </c>
      <c r="Q215" s="78">
        <f t="shared" si="5"/>
        <v>314</v>
      </c>
      <c r="R215" s="78">
        <f t="shared" si="6"/>
        <v>293</v>
      </c>
      <c r="S215" s="78">
        <f t="shared" si="7"/>
        <v>316</v>
      </c>
      <c r="T215" s="78">
        <f t="shared" si="8"/>
        <v>317</v>
      </c>
      <c r="U215" s="78">
        <f t="shared" si="9"/>
        <v>330</v>
      </c>
      <c r="V215" s="91">
        <v>270</v>
      </c>
      <c r="W215" t="s">
        <v>384</v>
      </c>
      <c r="X215" s="148">
        <f>(N215/'Population Figures'!J31)*1000</f>
        <v>118.15995189416716</v>
      </c>
      <c r="Y215" s="148">
        <f>(O215/'Population Figures'!M31)*1000</f>
        <v>101.14672155248456</v>
      </c>
      <c r="Z215" s="148">
        <f>(P215/'Population Figures'!P31)*1000</f>
        <v>85.714285714285708</v>
      </c>
      <c r="AA215" s="148">
        <f>(Q215/'Population Figures'!S31)*1000</f>
        <v>86.740331491712709</v>
      </c>
      <c r="AB215" s="148">
        <f>(R215/'Population Figures'!V31)*1000</f>
        <v>78.763440860215056</v>
      </c>
      <c r="AC215" s="148">
        <f>(S215/'Population Figures'!Y31)*1000</f>
        <v>83.289404322614658</v>
      </c>
      <c r="AD215" s="148">
        <f>(T215/'Population Figures'!AB31)*1000</f>
        <v>83.508956796628027</v>
      </c>
      <c r="AE215" s="148">
        <f>(U215/'Population Figures'!AE31)*1000</f>
        <v>82.872928176795583</v>
      </c>
      <c r="AF215" s="148">
        <f>(V215/'Population Figures'!AH31)*1000</f>
        <v>65.805508164757498</v>
      </c>
      <c r="AG215" s="148" t="s">
        <v>384</v>
      </c>
    </row>
    <row r="216" spans="1:33">
      <c r="A216" s="91" t="s">
        <v>57</v>
      </c>
      <c r="B216" s="78">
        <v>1350</v>
      </c>
      <c r="C216" s="14">
        <v>1431</v>
      </c>
      <c r="D216" s="14">
        <v>1558</v>
      </c>
      <c r="E216" s="514">
        <v>1646</v>
      </c>
      <c r="F216" s="514">
        <v>1665</v>
      </c>
      <c r="G216" s="514">
        <v>1772</v>
      </c>
      <c r="H216" s="514">
        <v>1630</v>
      </c>
      <c r="I216" s="514">
        <v>1660</v>
      </c>
      <c r="J216" s="514">
        <v>1460</v>
      </c>
      <c r="K216">
        <v>1340</v>
      </c>
      <c r="N216" s="78">
        <f t="shared" si="2"/>
        <v>763</v>
      </c>
      <c r="O216" s="78">
        <f t="shared" si="3"/>
        <v>816</v>
      </c>
      <c r="P216" s="78">
        <f t="shared" si="4"/>
        <v>913</v>
      </c>
      <c r="Q216" s="78">
        <f t="shared" si="5"/>
        <v>992</v>
      </c>
      <c r="R216" s="78">
        <f t="shared" si="6"/>
        <v>1036</v>
      </c>
      <c r="S216" s="78">
        <f t="shared" si="7"/>
        <v>1150</v>
      </c>
      <c r="T216" s="78">
        <f t="shared" si="8"/>
        <v>1162</v>
      </c>
      <c r="U216" s="78">
        <f t="shared" si="9"/>
        <v>1210</v>
      </c>
      <c r="V216" s="91">
        <v>1010</v>
      </c>
      <c r="W216">
        <v>920</v>
      </c>
      <c r="X216" s="148">
        <f>(N216/'Population Figures'!J32)*1000</f>
        <v>34.115805946791859</v>
      </c>
      <c r="Y216" s="148">
        <f>(O216/'Population Figures'!M32)*1000</f>
        <v>36.281179138321995</v>
      </c>
      <c r="Z216" s="148">
        <f>(P216/'Population Figures'!P32)*1000</f>
        <v>40.086055497014407</v>
      </c>
      <c r="AA216" s="148">
        <f>(Q216/'Population Figures'!S32)*1000</f>
        <v>42.847270214236353</v>
      </c>
      <c r="AB216" s="148">
        <f>(R216/'Population Figures'!V32)*1000</f>
        <v>44.186641644630214</v>
      </c>
      <c r="AC216" s="148">
        <f>(S216/'Population Figures'!Y32)*1000</f>
        <v>48.345735065371841</v>
      </c>
      <c r="AD216" s="148">
        <f>(T216/'Population Figures'!AB32)*1000</f>
        <v>47.56836417226134</v>
      </c>
      <c r="AE216" s="148">
        <f>(U216/'Population Figures'!AE32)*1000</f>
        <v>47.903717486836378</v>
      </c>
      <c r="AF216" s="148">
        <f>(V216/'Population Figures'!AH32)*1000</f>
        <v>39.110904584882284</v>
      </c>
      <c r="AG216" s="148">
        <f>(W216/'Population Figures'!AK32)*1000</f>
        <v>34.880194115862906</v>
      </c>
    </row>
    <row r="217" spans="1:33">
      <c r="A217" s="91" t="s">
        <v>58</v>
      </c>
      <c r="B217" s="78">
        <v>2660</v>
      </c>
      <c r="C217" s="14">
        <v>2933</v>
      </c>
      <c r="D217" s="14">
        <v>2985</v>
      </c>
      <c r="E217" s="514">
        <v>3131</v>
      </c>
      <c r="F217" s="514">
        <v>3128</v>
      </c>
      <c r="G217" s="514">
        <v>3057</v>
      </c>
      <c r="H217" s="514">
        <v>3052</v>
      </c>
      <c r="I217" s="514">
        <v>2920</v>
      </c>
      <c r="J217" s="514">
        <v>2920</v>
      </c>
      <c r="K217">
        <v>2770</v>
      </c>
      <c r="N217" s="78">
        <f t="shared" si="2"/>
        <v>1671</v>
      </c>
      <c r="O217" s="78">
        <f t="shared" si="3"/>
        <v>1864</v>
      </c>
      <c r="P217" s="78">
        <f t="shared" si="4"/>
        <v>1893</v>
      </c>
      <c r="Q217" s="78">
        <f t="shared" si="5"/>
        <v>1899</v>
      </c>
      <c r="R217" s="78">
        <f t="shared" si="6"/>
        <v>1932</v>
      </c>
      <c r="S217" s="78">
        <f t="shared" si="7"/>
        <v>1929</v>
      </c>
      <c r="T217" s="78">
        <f t="shared" si="8"/>
        <v>1959</v>
      </c>
      <c r="U217" s="78">
        <f t="shared" si="9"/>
        <v>1930</v>
      </c>
      <c r="V217" s="91">
        <v>1920</v>
      </c>
      <c r="W217">
        <v>1800</v>
      </c>
      <c r="X217" s="148">
        <f>(N217/'Population Figures'!J33)*1000</f>
        <v>34.361505243676746</v>
      </c>
      <c r="Y217" s="148">
        <f>(O217/'Population Figures'!M33)*1000</f>
        <v>37.887719012968006</v>
      </c>
      <c r="Z217" s="148">
        <f>(P217/'Population Figures'!P33)*1000</f>
        <v>37.935871743486977</v>
      </c>
      <c r="AA217" s="148">
        <f>(Q217/'Population Figures'!S33)*1000</f>
        <v>37.505184365927363</v>
      </c>
      <c r="AB217" s="148">
        <f>(R217/'Population Figures'!V33)*1000</f>
        <v>37.521848902699553</v>
      </c>
      <c r="AC217" s="148">
        <f>(S217/'Population Figures'!Y33)*1000</f>
        <v>36.936333173767352</v>
      </c>
      <c r="AD217" s="148">
        <f>(T217/'Population Figures'!AB33)*1000</f>
        <v>36.784587652095539</v>
      </c>
      <c r="AE217" s="148">
        <f>(U217/'Population Figures'!AE33)*1000</f>
        <v>35.078790963121833</v>
      </c>
      <c r="AF217" s="148">
        <f>(V217/'Population Figures'!AH33)*1000</f>
        <v>34.049193991735976</v>
      </c>
      <c r="AG217" s="148">
        <f>(W217/'Population Figures'!AK33)*1000</f>
        <v>31.245660324954866</v>
      </c>
    </row>
    <row r="218" spans="1:33">
      <c r="A218" s="91" t="s">
        <v>59</v>
      </c>
      <c r="B218" s="78">
        <v>710</v>
      </c>
      <c r="C218" s="14">
        <v>673</v>
      </c>
      <c r="D218" s="14">
        <v>797</v>
      </c>
      <c r="E218" s="514">
        <v>708</v>
      </c>
      <c r="F218" s="514">
        <v>812</v>
      </c>
      <c r="G218" s="514">
        <v>797</v>
      </c>
      <c r="H218" s="514">
        <v>795</v>
      </c>
      <c r="I218" s="514">
        <v>870</v>
      </c>
      <c r="J218" s="514">
        <v>870</v>
      </c>
      <c r="K218">
        <v>830</v>
      </c>
      <c r="N218" s="78">
        <f t="shared" si="2"/>
        <v>602</v>
      </c>
      <c r="O218" s="78">
        <f t="shared" si="3"/>
        <v>563</v>
      </c>
      <c r="P218" s="78">
        <f t="shared" si="4"/>
        <v>661</v>
      </c>
      <c r="Q218" s="78">
        <f t="shared" si="5"/>
        <v>567</v>
      </c>
      <c r="R218" s="78">
        <f t="shared" si="6"/>
        <v>573</v>
      </c>
      <c r="S218" s="78">
        <f t="shared" si="7"/>
        <v>535</v>
      </c>
      <c r="T218" s="78">
        <f t="shared" si="8"/>
        <v>492</v>
      </c>
      <c r="U218" s="78">
        <f t="shared" si="9"/>
        <v>570</v>
      </c>
      <c r="V218" s="91">
        <v>560</v>
      </c>
      <c r="W218">
        <v>510</v>
      </c>
      <c r="X218" s="148">
        <f>(N218/'Population Figures'!J34)*1000</f>
        <v>42.550183771557819</v>
      </c>
      <c r="Y218" s="148">
        <f>(O218/'Population Figures'!M34)*1000</f>
        <v>39.425770308123248</v>
      </c>
      <c r="Z218" s="148">
        <f>(P218/'Population Figures'!P34)*1000</f>
        <v>45.583063237018138</v>
      </c>
      <c r="AA218" s="148">
        <f>(Q218/'Population Figures'!S34)*1000</f>
        <v>38.272021599730003</v>
      </c>
      <c r="AB218" s="148">
        <f>(R218/'Population Figures'!V34)*1000</f>
        <v>37.747035573122524</v>
      </c>
      <c r="AC218" s="148">
        <f>(S218/'Population Figures'!Y34)*1000</f>
        <v>34.751542708671643</v>
      </c>
      <c r="AD218" s="148">
        <f>(T218/'Population Figures'!AB34)*1000</f>
        <v>31.425651507409302</v>
      </c>
      <c r="AE218" s="148">
        <f>(U218/'Population Figures'!AE34)*1000</f>
        <v>35.031651404339009</v>
      </c>
      <c r="AF218" s="148">
        <f>(V218/'Population Figures'!AH34)*1000</f>
        <v>33.771559522373657</v>
      </c>
      <c r="AG218" s="148">
        <f>(W218/'Population Figures'!AK34)*1000</f>
        <v>30.220431381844037</v>
      </c>
    </row>
    <row r="219" spans="1:33">
      <c r="A219" s="91" t="s">
        <v>60</v>
      </c>
      <c r="B219" s="78">
        <v>1660</v>
      </c>
      <c r="C219" s="14">
        <v>1652</v>
      </c>
      <c r="D219" s="14">
        <v>1609</v>
      </c>
      <c r="E219" s="514">
        <v>1511</v>
      </c>
      <c r="F219" s="514">
        <v>1411</v>
      </c>
      <c r="G219" s="514">
        <v>1351</v>
      </c>
      <c r="H219" s="514">
        <v>1364</v>
      </c>
      <c r="I219" s="514">
        <v>1270</v>
      </c>
      <c r="J219" s="514">
        <v>1290</v>
      </c>
      <c r="K219">
        <v>1170</v>
      </c>
      <c r="N219" s="78">
        <f t="shared" si="2"/>
        <v>1269</v>
      </c>
      <c r="O219" s="78">
        <f t="shared" si="3"/>
        <v>1252</v>
      </c>
      <c r="P219" s="78">
        <f t="shared" si="4"/>
        <v>1198</v>
      </c>
      <c r="Q219" s="78">
        <f t="shared" si="5"/>
        <v>1119</v>
      </c>
      <c r="R219" s="78">
        <f t="shared" si="6"/>
        <v>1034</v>
      </c>
      <c r="S219" s="78">
        <f t="shared" si="7"/>
        <v>971</v>
      </c>
      <c r="T219" s="78">
        <f t="shared" si="8"/>
        <v>937</v>
      </c>
      <c r="U219" s="78">
        <f t="shared" si="9"/>
        <v>880</v>
      </c>
      <c r="V219" s="91">
        <v>900</v>
      </c>
      <c r="W219">
        <v>830</v>
      </c>
      <c r="X219" s="148">
        <f>(N219/'Population Figures'!J35)*1000</f>
        <v>86.668487911487503</v>
      </c>
      <c r="Y219" s="148">
        <f>(O219/'Population Figures'!M35)*1000</f>
        <v>85.729937003560678</v>
      </c>
      <c r="Z219" s="148">
        <f>(P219/'Population Figures'!P35)*1000</f>
        <v>81.998631074606436</v>
      </c>
      <c r="AA219" s="148">
        <f>(Q219/'Population Figures'!S35)*1000</f>
        <v>76.481443510354723</v>
      </c>
      <c r="AB219" s="148">
        <f>(R219/'Population Figures'!V35)*1000</f>
        <v>69.968872648531601</v>
      </c>
      <c r="AC219" s="148">
        <f>(S219/'Population Figures'!Y35)*1000</f>
        <v>65.124077800134145</v>
      </c>
      <c r="AD219" s="148">
        <f>(T219/'Population Figures'!AB35)*1000</f>
        <v>62.516680010675202</v>
      </c>
      <c r="AE219" s="148">
        <f>(U219/'Population Figures'!AE35)*1000</f>
        <v>57.625564796018594</v>
      </c>
      <c r="AF219" s="148">
        <f>(V219/'Population Figures'!AH35)*1000</f>
        <v>58.004640371229698</v>
      </c>
      <c r="AG219" s="148">
        <f>(W219/'Population Figures'!AK35)*1000</f>
        <v>52.72854329458103</v>
      </c>
    </row>
    <row r="220" spans="1:33">
      <c r="A220" s="91" t="s">
        <v>61</v>
      </c>
      <c r="B220" s="78">
        <v>1160</v>
      </c>
      <c r="C220" s="14">
        <v>1144</v>
      </c>
      <c r="D220" s="14">
        <v>1187</v>
      </c>
      <c r="E220" s="514">
        <v>1246</v>
      </c>
      <c r="F220" s="514">
        <v>1265</v>
      </c>
      <c r="G220" s="514">
        <v>1301</v>
      </c>
      <c r="H220" s="514">
        <v>1351</v>
      </c>
      <c r="I220" s="514">
        <v>1400</v>
      </c>
      <c r="J220" s="514">
        <v>1500</v>
      </c>
      <c r="K220">
        <v>1400</v>
      </c>
      <c r="N220" s="78">
        <f t="shared" si="2"/>
        <v>987</v>
      </c>
      <c r="O220" s="78">
        <f t="shared" si="3"/>
        <v>959</v>
      </c>
      <c r="P220" s="78">
        <f t="shared" si="4"/>
        <v>862</v>
      </c>
      <c r="Q220" s="78">
        <f t="shared" si="5"/>
        <v>904</v>
      </c>
      <c r="R220" s="78">
        <f t="shared" si="6"/>
        <v>871</v>
      </c>
      <c r="S220" s="78">
        <f t="shared" si="7"/>
        <v>916</v>
      </c>
      <c r="T220" s="78">
        <f t="shared" si="8"/>
        <v>992</v>
      </c>
      <c r="U220" s="78">
        <f t="shared" si="9"/>
        <v>930</v>
      </c>
      <c r="V220" s="91">
        <v>1030</v>
      </c>
      <c r="W220">
        <v>930</v>
      </c>
      <c r="X220" s="148">
        <f>(N220/'Population Figures'!J36)*1000</f>
        <v>48.671039005868138</v>
      </c>
      <c r="Y220" s="148">
        <f>(O220/'Population Figures'!M36)*1000</f>
        <v>46.112420060585663</v>
      </c>
      <c r="Z220" s="148">
        <f>(P220/'Population Figures'!P36)*1000</f>
        <v>40.25779936484215</v>
      </c>
      <c r="AA220" s="148">
        <f>(Q220/'Population Figures'!S36)*1000</f>
        <v>40.910530841290672</v>
      </c>
      <c r="AB220" s="148">
        <f>(R220/'Population Figures'!V36)*1000</f>
        <v>38.294130578149044</v>
      </c>
      <c r="AC220" s="148">
        <f>(S220/'Population Figures'!Y36)*1000</f>
        <v>39.05850247313662</v>
      </c>
      <c r="AD220" s="148">
        <f>(T220/'Population Figures'!AB36)*1000</f>
        <v>41.083409260332971</v>
      </c>
      <c r="AE220" s="148">
        <f>(U220/'Population Figures'!AE36)*1000</f>
        <v>36.8857335501527</v>
      </c>
      <c r="AF220" s="148">
        <f>(V220/'Population Figures'!AH36)*1000</f>
        <v>39.272505433332064</v>
      </c>
      <c r="AG220" s="148">
        <f>(W220/'Population Figures'!AK36)*1000</f>
        <v>34.27939550313306</v>
      </c>
    </row>
    <row r="221" spans="1:33">
      <c r="A221" s="94" t="s">
        <v>5</v>
      </c>
      <c r="B221" s="100">
        <v>57190</v>
      </c>
      <c r="C221" s="62">
        <v>56701</v>
      </c>
      <c r="D221" s="62">
        <v>55338</v>
      </c>
      <c r="E221" s="62">
        <v>54718</v>
      </c>
      <c r="F221" s="62">
        <v>53661</v>
      </c>
      <c r="G221" s="62">
        <v>51731</v>
      </c>
      <c r="H221" s="62">
        <v>51118</v>
      </c>
      <c r="I221" s="62">
        <v>50350</v>
      </c>
      <c r="J221" s="62">
        <v>50440</v>
      </c>
      <c r="K221" s="1">
        <v>49660</v>
      </c>
      <c r="N221" s="100">
        <f t="shared" si="2"/>
        <v>43108</v>
      </c>
      <c r="O221" s="100">
        <f t="shared" si="3"/>
        <v>42072</v>
      </c>
      <c r="P221" s="100">
        <f t="shared" si="4"/>
        <v>40006</v>
      </c>
      <c r="Q221" s="100">
        <f t="shared" si="5"/>
        <v>39495</v>
      </c>
      <c r="R221" s="100">
        <f t="shared" si="6"/>
        <v>37924</v>
      </c>
      <c r="S221" s="100">
        <f t="shared" si="7"/>
        <v>36175</v>
      </c>
      <c r="T221" s="100">
        <f t="shared" si="8"/>
        <v>35145</v>
      </c>
      <c r="U221" s="100">
        <f t="shared" si="9"/>
        <v>33850</v>
      </c>
      <c r="V221" s="91">
        <v>33940</v>
      </c>
      <c r="W221">
        <v>32870</v>
      </c>
      <c r="X221" s="397">
        <f>(N221/'Population Figures'!J37)*1000</f>
        <v>51.744461009201849</v>
      </c>
      <c r="Y221" s="397">
        <f>(O221/'Population Figures'!M37)*1000</f>
        <v>50.20716781547744</v>
      </c>
      <c r="Z221" s="397">
        <f>(P221/'Population Figures'!P37)*1000</f>
        <v>47.3100579106518</v>
      </c>
      <c r="AA221" s="397">
        <f>(Q221/'Population Figures'!S37)*1000</f>
        <v>46.109769153445889</v>
      </c>
      <c r="AB221" s="397">
        <f>(R221/'Population Figures'!V37)*1000</f>
        <v>43.665487638627901</v>
      </c>
      <c r="AC221" s="397">
        <f>(S221/'Population Figures'!Y37)*1000</f>
        <v>41.131698753371261</v>
      </c>
      <c r="AD221" s="397">
        <f>(T221/'Population Figures'!AB37)*1000</f>
        <v>39.208401943853168</v>
      </c>
      <c r="AE221" s="397">
        <f>(U221/'Population Figures'!AE37)*1000</f>
        <v>36.56490784238958</v>
      </c>
      <c r="AF221" s="148">
        <f>(V221/'Population Figures'!AK37)*1000</f>
        <v>35.047899139705223</v>
      </c>
      <c r="AG221" s="148">
        <f>(W221/'Population Figures'!AK37)*1000</f>
        <v>33.942971264646751</v>
      </c>
    </row>
    <row r="222" spans="1:33">
      <c r="J222" s="11"/>
      <c r="K222" s="11"/>
      <c r="AC222" s="149"/>
    </row>
    <row r="223" spans="1:33">
      <c r="A223" s="1" t="s">
        <v>117</v>
      </c>
      <c r="J223" s="11"/>
      <c r="K223" s="11"/>
      <c r="L223" s="11"/>
      <c r="M223" s="11"/>
      <c r="N223" s="11"/>
      <c r="O223" s="11"/>
      <c r="P223" s="11"/>
      <c r="Q223" s="11"/>
      <c r="R223" s="11"/>
      <c r="S223" s="11"/>
      <c r="T223" s="11"/>
      <c r="U223" s="11"/>
      <c r="V223" s="11"/>
      <c r="W223" s="11"/>
      <c r="X223" s="11"/>
      <c r="Y223" s="11"/>
      <c r="Z223" s="11"/>
      <c r="AA223" s="11"/>
      <c r="AB223" s="11"/>
      <c r="AC223" s="11"/>
    </row>
    <row r="224" spans="1:33">
      <c r="A224" s="421" t="s">
        <v>357</v>
      </c>
      <c r="B224" s="529" t="s">
        <v>365</v>
      </c>
    </row>
    <row r="225" spans="1:8">
      <c r="B225" s="529"/>
    </row>
    <row r="227" spans="1:8">
      <c r="A227" s="128" t="s">
        <v>165</v>
      </c>
    </row>
    <row r="229" spans="1:8">
      <c r="A229" t="s">
        <v>26</v>
      </c>
      <c r="B229" s="421" t="s">
        <v>369</v>
      </c>
      <c r="C229" t="s">
        <v>168</v>
      </c>
      <c r="D229" t="s">
        <v>5</v>
      </c>
      <c r="H229" s="90"/>
    </row>
    <row r="230" spans="1:8">
      <c r="A230" s="417" t="s">
        <v>33</v>
      </c>
      <c r="B230" s="551">
        <v>55.007217259002068</v>
      </c>
      <c r="C230" s="90" t="str">
        <f>IF($A230=Cover!$C$5,$B230,"")</f>
        <v/>
      </c>
      <c r="D230" s="412">
        <f>$AG$221</f>
        <v>33.942971264646751</v>
      </c>
      <c r="H230" s="90"/>
    </row>
    <row r="231" spans="1:8">
      <c r="A231" s="417" t="s">
        <v>43</v>
      </c>
      <c r="B231" s="551">
        <v>53.288508994671147</v>
      </c>
      <c r="C231" s="90" t="str">
        <f>IF($A231=Cover!$C$5,$B231,"")</f>
        <v/>
      </c>
      <c r="D231" s="412">
        <f t="shared" ref="D231:D261" si="10">$AG$221</f>
        <v>33.942971264646751</v>
      </c>
      <c r="H231" s="90"/>
    </row>
    <row r="232" spans="1:8">
      <c r="A232" s="417" t="s">
        <v>60</v>
      </c>
      <c r="B232" s="551">
        <v>52.72854329458103</v>
      </c>
      <c r="C232" s="90" t="str">
        <f>IF($A232=Cover!$C$5,$B232,"")</f>
        <v/>
      </c>
      <c r="D232" s="412">
        <f t="shared" si="10"/>
        <v>33.942971264646751</v>
      </c>
      <c r="G232" s="90"/>
      <c r="H232" s="90"/>
    </row>
    <row r="233" spans="1:8">
      <c r="A233" s="417" t="s">
        <v>38</v>
      </c>
      <c r="B233" s="551">
        <v>52.574876104287867</v>
      </c>
      <c r="C233" s="90" t="str">
        <f>IF($A233=Cover!$C$5,$B233,"")</f>
        <v/>
      </c>
      <c r="D233" s="412">
        <f t="shared" si="10"/>
        <v>33.942971264646751</v>
      </c>
      <c r="G233" s="90"/>
      <c r="H233" s="90"/>
    </row>
    <row r="234" spans="1:8">
      <c r="A234" s="417" t="s">
        <v>42</v>
      </c>
      <c r="B234" s="551">
        <v>46.540490226497056</v>
      </c>
      <c r="C234" s="90" t="str">
        <f>IF($A234=Cover!$C$5,$B234,"")</f>
        <v/>
      </c>
      <c r="D234" s="412">
        <f t="shared" si="10"/>
        <v>33.942971264646751</v>
      </c>
      <c r="G234" s="90"/>
      <c r="H234" s="90"/>
    </row>
    <row r="235" spans="1:8">
      <c r="A235" s="417" t="s">
        <v>37</v>
      </c>
      <c r="B235" s="551">
        <v>44.968212125910995</v>
      </c>
      <c r="C235" s="90" t="str">
        <f>IF($A235=Cover!$C$5,$B235,"")</f>
        <v/>
      </c>
      <c r="D235" s="412">
        <f t="shared" si="10"/>
        <v>33.942971264646751</v>
      </c>
      <c r="G235" s="90"/>
      <c r="H235" s="90"/>
    </row>
    <row r="236" spans="1:8">
      <c r="A236" s="417" t="s">
        <v>47</v>
      </c>
      <c r="B236" s="551">
        <v>44.611560767318842</v>
      </c>
      <c r="C236" s="90" t="str">
        <f>IF($A236=Cover!$C$5,$B236,"")</f>
        <v/>
      </c>
      <c r="D236" s="412">
        <f t="shared" si="10"/>
        <v>33.942971264646751</v>
      </c>
      <c r="G236" s="90"/>
      <c r="H236" s="90"/>
    </row>
    <row r="237" spans="1:8">
      <c r="A237" s="417" t="s">
        <v>41</v>
      </c>
      <c r="B237" s="551">
        <v>42.399231160608288</v>
      </c>
      <c r="C237" s="90" t="str">
        <f>IF($A237=Cover!$C$5,$B237,"")</f>
        <v/>
      </c>
      <c r="D237" s="412">
        <f t="shared" si="10"/>
        <v>33.942971264646751</v>
      </c>
      <c r="G237" s="90"/>
      <c r="H237" s="90"/>
    </row>
    <row r="238" spans="1:8">
      <c r="A238" s="417" t="s">
        <v>54</v>
      </c>
      <c r="B238" s="551">
        <v>40.628641617586851</v>
      </c>
      <c r="C238" s="90" t="str">
        <f>IF($A238=Cover!$C$5,$B238,"")</f>
        <v/>
      </c>
      <c r="D238" s="412">
        <f t="shared" si="10"/>
        <v>33.942971264646751</v>
      </c>
      <c r="G238" s="90"/>
      <c r="H238" s="90"/>
    </row>
    <row r="239" spans="1:8">
      <c r="A239" s="417" t="s">
        <v>40</v>
      </c>
      <c r="B239" s="551">
        <v>38.46942962659007</v>
      </c>
      <c r="C239" s="90" t="str">
        <f>IF($A239=Cover!$C$5,$B239,"")</f>
        <v/>
      </c>
      <c r="D239" s="412">
        <f t="shared" si="10"/>
        <v>33.942971264646751</v>
      </c>
      <c r="G239" s="90"/>
      <c r="H239" s="90"/>
    </row>
    <row r="240" spans="1:8">
      <c r="A240" s="417" t="s">
        <v>45</v>
      </c>
      <c r="B240" s="551">
        <v>37.470221349646245</v>
      </c>
      <c r="C240" s="90" t="str">
        <f>IF($A240=Cover!$C$5,$B240,"")</f>
        <v/>
      </c>
      <c r="D240" s="412">
        <f t="shared" si="10"/>
        <v>33.942971264646751</v>
      </c>
      <c r="G240" s="90"/>
      <c r="H240" s="90"/>
    </row>
    <row r="241" spans="1:8">
      <c r="A241" s="417" t="s">
        <v>50</v>
      </c>
      <c r="B241" s="551">
        <v>35.802035802035803</v>
      </c>
      <c r="C241" s="90" t="str">
        <f>IF($A241=Cover!$C$5,$B241,"")</f>
        <v/>
      </c>
      <c r="D241" s="412">
        <f t="shared" si="10"/>
        <v>33.942971264646751</v>
      </c>
      <c r="G241" s="90"/>
      <c r="H241" s="90"/>
    </row>
    <row r="242" spans="1:8">
      <c r="A242" s="417" t="s">
        <v>55</v>
      </c>
      <c r="B242" s="551">
        <v>35.699365766586915</v>
      </c>
      <c r="C242" s="90" t="str">
        <f>IF($A242=Cover!$C$5,$B242,"")</f>
        <v/>
      </c>
      <c r="D242" s="412">
        <f t="shared" si="10"/>
        <v>33.942971264646751</v>
      </c>
      <c r="G242" s="90"/>
      <c r="H242" s="90"/>
    </row>
    <row r="243" spans="1:8">
      <c r="A243" s="417" t="s">
        <v>57</v>
      </c>
      <c r="B243" s="551">
        <v>34.880194115862906</v>
      </c>
      <c r="C243" s="90" t="str">
        <f>IF($A243=Cover!$C$5,$B243,"")</f>
        <v/>
      </c>
      <c r="D243" s="412">
        <f t="shared" si="10"/>
        <v>33.942971264646751</v>
      </c>
      <c r="G243" s="90"/>
      <c r="H243" s="90"/>
    </row>
    <row r="244" spans="1:8">
      <c r="A244" s="417" t="s">
        <v>61</v>
      </c>
      <c r="B244" s="552">
        <v>34.27939550313306</v>
      </c>
      <c r="C244" s="90" t="str">
        <f>IF($A244=Cover!$C$5,$B244,"")</f>
        <v/>
      </c>
      <c r="D244" s="412">
        <f t="shared" si="10"/>
        <v>33.942971264646751</v>
      </c>
      <c r="G244" s="90"/>
      <c r="H244" s="90"/>
    </row>
    <row r="245" spans="1:8">
      <c r="A245" s="417" t="s">
        <v>49</v>
      </c>
      <c r="B245" s="551">
        <v>34.210526315789473</v>
      </c>
      <c r="C245" s="90"/>
      <c r="D245" s="412">
        <f t="shared" si="10"/>
        <v>33.942971264646751</v>
      </c>
      <c r="G245" s="90"/>
      <c r="H245" s="90"/>
    </row>
    <row r="246" spans="1:8">
      <c r="A246" s="417" t="s">
        <v>51</v>
      </c>
      <c r="B246" s="551">
        <v>32.486494378741426</v>
      </c>
      <c r="C246" s="90" t="str">
        <f>IF($A246=Cover!$C$5,$B246,"")</f>
        <v/>
      </c>
      <c r="D246" s="412">
        <f t="shared" si="10"/>
        <v>33.942971264646751</v>
      </c>
      <c r="G246" s="90"/>
      <c r="H246" s="90"/>
    </row>
    <row r="247" spans="1:8">
      <c r="A247" s="417" t="s">
        <v>35</v>
      </c>
      <c r="B247" s="551">
        <v>32.157787544216959</v>
      </c>
      <c r="C247" s="90" t="str">
        <f>IF($A247=Cover!$C$5,$B247,"")</f>
        <v/>
      </c>
      <c r="D247" s="412">
        <f t="shared" si="10"/>
        <v>33.942971264646751</v>
      </c>
      <c r="G247" s="90"/>
      <c r="H247" s="90"/>
    </row>
    <row r="248" spans="1:8">
      <c r="A248" s="417" t="s">
        <v>58</v>
      </c>
      <c r="B248" s="551">
        <v>31.245660324954866</v>
      </c>
      <c r="C248" s="90" t="str">
        <f>IF($A248=Cover!$C$5,$B248,"")</f>
        <v/>
      </c>
      <c r="D248" s="412">
        <f t="shared" si="10"/>
        <v>33.942971264646751</v>
      </c>
      <c r="G248" s="90"/>
      <c r="H248" s="90"/>
    </row>
    <row r="249" spans="1:8">
      <c r="A249" s="417" t="s">
        <v>31</v>
      </c>
      <c r="B249" s="551">
        <v>30.938968506465077</v>
      </c>
      <c r="C249" s="90">
        <f>IF($A249=Cover!$C$5,$B249,"")</f>
        <v>30.938968506465077</v>
      </c>
      <c r="D249" s="412">
        <f t="shared" si="10"/>
        <v>33.942971264646751</v>
      </c>
      <c r="G249" s="90"/>
      <c r="H249" s="90"/>
    </row>
    <row r="250" spans="1:8">
      <c r="A250" s="417" t="s">
        <v>59</v>
      </c>
      <c r="B250" s="551">
        <v>30.220431381844037</v>
      </c>
      <c r="C250" s="90" t="str">
        <f>IF($A250=Cover!$C$5,$B250,"")</f>
        <v/>
      </c>
      <c r="D250" s="412">
        <f t="shared" si="10"/>
        <v>33.942971264646751</v>
      </c>
      <c r="G250" s="90"/>
      <c r="H250" s="90"/>
    </row>
    <row r="251" spans="1:8">
      <c r="A251" s="417" t="s">
        <v>48</v>
      </c>
      <c r="B251" s="551">
        <v>30.103119195542178</v>
      </c>
      <c r="C251" s="90" t="str">
        <f>IF($A251=Cover!$C$5,$B251,"")</f>
        <v/>
      </c>
      <c r="D251" s="412">
        <f t="shared" si="10"/>
        <v>33.942971264646751</v>
      </c>
      <c r="G251" s="90"/>
      <c r="H251" s="90"/>
    </row>
    <row r="252" spans="1:8">
      <c r="A252" s="417" t="s">
        <v>34</v>
      </c>
      <c r="B252" s="551">
        <v>28.419856006062904</v>
      </c>
      <c r="C252" s="90" t="str">
        <f>IF($A252=Cover!$C$5,$B252,"")</f>
        <v/>
      </c>
      <c r="D252" s="412">
        <f t="shared" si="10"/>
        <v>33.942971264646751</v>
      </c>
      <c r="G252" s="90"/>
      <c r="H252" s="90"/>
    </row>
    <row r="253" spans="1:8">
      <c r="A253" s="417" t="s">
        <v>53</v>
      </c>
      <c r="B253" s="551">
        <v>27.986222167548281</v>
      </c>
      <c r="C253" s="90" t="str">
        <f>IF($A253=Cover!$C$5,$B253,"")</f>
        <v/>
      </c>
      <c r="D253" s="412">
        <f t="shared" si="10"/>
        <v>33.942971264646751</v>
      </c>
      <c r="G253" s="90"/>
      <c r="H253" s="90"/>
    </row>
    <row r="254" spans="1:8">
      <c r="A254" s="417" t="s">
        <v>44</v>
      </c>
      <c r="B254" s="551">
        <v>27.721880584833176</v>
      </c>
      <c r="C254" s="90" t="str">
        <f>IF($A254=Cover!$C$5,$B254,"")</f>
        <v/>
      </c>
      <c r="D254" s="412">
        <f t="shared" si="10"/>
        <v>33.942971264646751</v>
      </c>
      <c r="G254" s="90"/>
      <c r="H254" s="90"/>
    </row>
    <row r="255" spans="1:8">
      <c r="A255" s="417" t="s">
        <v>140</v>
      </c>
      <c r="B255" s="551">
        <v>27.367936159546936</v>
      </c>
      <c r="C255" s="90" t="str">
        <f>IF($A255=Cover!$C$5,$B255,"")</f>
        <v/>
      </c>
      <c r="D255" s="412">
        <f t="shared" si="10"/>
        <v>33.942971264646751</v>
      </c>
      <c r="G255" s="90"/>
      <c r="H255" s="90"/>
    </row>
    <row r="256" spans="1:8">
      <c r="A256" s="417" t="s">
        <v>32</v>
      </c>
      <c r="B256" s="551">
        <v>27.299729186686466</v>
      </c>
      <c r="C256" s="90" t="str">
        <f>IF($A256=Cover!$C$5,$B256,"")</f>
        <v/>
      </c>
      <c r="D256" s="412">
        <f t="shared" si="10"/>
        <v>33.942971264646751</v>
      </c>
      <c r="G256" s="90"/>
      <c r="H256" s="90"/>
    </row>
    <row r="257" spans="1:24">
      <c r="A257" s="417" t="s">
        <v>46</v>
      </c>
      <c r="B257" s="551">
        <v>25.825262938665002</v>
      </c>
      <c r="C257" s="90" t="str">
        <f>IF($A257=Cover!$C$5,$B257,"")</f>
        <v/>
      </c>
      <c r="D257" s="412">
        <f t="shared" si="10"/>
        <v>33.942971264646751</v>
      </c>
      <c r="G257" s="90"/>
      <c r="H257" s="90"/>
    </row>
    <row r="258" spans="1:24">
      <c r="A258" s="417" t="s">
        <v>36</v>
      </c>
      <c r="B258" s="551">
        <v>20.411016356773381</v>
      </c>
      <c r="C258" s="90" t="str">
        <f>IF($A258=Cover!$C$5,$B258,"")</f>
        <v/>
      </c>
      <c r="D258" s="412">
        <f t="shared" si="10"/>
        <v>33.942971264646751</v>
      </c>
      <c r="G258" s="90"/>
      <c r="H258" s="90"/>
    </row>
    <row r="259" spans="1:24">
      <c r="A259" s="417" t="s">
        <v>39</v>
      </c>
      <c r="B259" s="551">
        <v>19.006364922206508</v>
      </c>
      <c r="C259" s="90" t="str">
        <f>IF($A259=Cover!$C$5,$B259,"")</f>
        <v/>
      </c>
      <c r="D259" s="412">
        <f t="shared" si="10"/>
        <v>33.942971264646751</v>
      </c>
      <c r="G259" s="90"/>
      <c r="H259" s="90"/>
    </row>
    <row r="260" spans="1:24">
      <c r="A260" s="417" t="s">
        <v>52</v>
      </c>
      <c r="B260" s="551" t="s">
        <v>384</v>
      </c>
      <c r="C260" s="90" t="str">
        <f>IF($A260=Cover!$C$5,$B260,"")</f>
        <v/>
      </c>
      <c r="D260" s="412">
        <f t="shared" si="10"/>
        <v>33.942971264646751</v>
      </c>
      <c r="G260" s="90"/>
      <c r="H260" s="90"/>
    </row>
    <row r="261" spans="1:24">
      <c r="A261" s="417" t="s">
        <v>56</v>
      </c>
      <c r="B261" s="551" t="s">
        <v>384</v>
      </c>
      <c r="C261" s="90" t="str">
        <f>IF($A261=Cover!$C$5,$B261,"")</f>
        <v/>
      </c>
      <c r="D261" s="412">
        <f t="shared" si="10"/>
        <v>33.942971264646751</v>
      </c>
      <c r="G261" s="90"/>
      <c r="H261" s="90"/>
    </row>
    <row r="262" spans="1:24">
      <c r="A262" s="1" t="str">
        <f>Cover!$C$5</f>
        <v>Aberdeen City</v>
      </c>
      <c r="B262" s="177">
        <f>VLOOKUP(Cover!$C$5,$A$229:$B$261,2,0)</f>
        <v>30.938968506465077</v>
      </c>
      <c r="C262" s="90"/>
      <c r="D262" s="90"/>
      <c r="H262" s="90"/>
    </row>
    <row r="263" spans="1:24">
      <c r="A263" s="1" t="s">
        <v>160</v>
      </c>
      <c r="B263" s="177">
        <f>MIN($B$230:$B$261)</f>
        <v>19.006364922206508</v>
      </c>
      <c r="C263" s="90"/>
      <c r="D263" s="90"/>
    </row>
    <row r="264" spans="1:24">
      <c r="A264" s="1" t="s">
        <v>161</v>
      </c>
      <c r="B264" s="177">
        <f>MAX($B$230:$B$261)</f>
        <v>55.007217259002068</v>
      </c>
      <c r="C264" s="90"/>
      <c r="D264" s="90"/>
    </row>
    <row r="267" spans="1:24">
      <c r="A267" s="128" t="s">
        <v>158</v>
      </c>
    </row>
    <row r="268" spans="1:24" ht="13.5" thickBot="1"/>
    <row r="269" spans="1:24" ht="13.5" thickBot="1">
      <c r="A269" s="122"/>
      <c r="B269" s="755" t="s">
        <v>119</v>
      </c>
      <c r="C269" s="756"/>
      <c r="D269" s="756"/>
      <c r="E269" s="756"/>
      <c r="F269" s="756"/>
      <c r="G269" s="756"/>
      <c r="H269" s="756"/>
      <c r="I269" s="756"/>
      <c r="J269" s="756"/>
      <c r="K269" s="756"/>
      <c r="L269" s="757"/>
      <c r="M269" s="755" t="s">
        <v>118</v>
      </c>
      <c r="N269" s="756"/>
      <c r="O269" s="756"/>
      <c r="P269" s="756"/>
      <c r="Q269" s="756"/>
      <c r="R269" s="756"/>
      <c r="S269" s="756"/>
      <c r="T269" s="756"/>
      <c r="U269" s="756"/>
      <c r="V269" s="757"/>
    </row>
    <row r="270" spans="1:24" ht="13.5" thickBot="1">
      <c r="A270" s="133" t="s">
        <v>26</v>
      </c>
      <c r="B270" s="135" t="s">
        <v>4</v>
      </c>
      <c r="C270" s="136" t="s">
        <v>0</v>
      </c>
      <c r="D270" s="136" t="s">
        <v>1</v>
      </c>
      <c r="E270" s="136" t="s">
        <v>28</v>
      </c>
      <c r="F270" s="136" t="s">
        <v>65</v>
      </c>
      <c r="G270" s="441" t="s">
        <v>267</v>
      </c>
      <c r="H270" s="496" t="s">
        <v>315</v>
      </c>
      <c r="I270" s="495" t="s">
        <v>322</v>
      </c>
      <c r="J270" s="495" t="s">
        <v>369</v>
      </c>
      <c r="K270" s="495" t="s">
        <v>382</v>
      </c>
      <c r="L270" s="441" t="s">
        <v>4</v>
      </c>
      <c r="M270" s="136" t="s">
        <v>0</v>
      </c>
      <c r="N270" s="136" t="s">
        <v>1</v>
      </c>
      <c r="O270" s="136" t="s">
        <v>28</v>
      </c>
      <c r="P270" s="136" t="s">
        <v>65</v>
      </c>
      <c r="Q270" s="441" t="s">
        <v>267</v>
      </c>
      <c r="R270" s="496" t="s">
        <v>315</v>
      </c>
      <c r="S270" s="495" t="s">
        <v>322</v>
      </c>
      <c r="T270" s="495" t="s">
        <v>369</v>
      </c>
      <c r="U270" s="495" t="s">
        <v>382</v>
      </c>
      <c r="W270" s="237"/>
      <c r="X270" s="237"/>
    </row>
    <row r="271" spans="1:24">
      <c r="A271" s="133" t="s">
        <v>31</v>
      </c>
      <c r="B271" s="530">
        <v>583</v>
      </c>
      <c r="C271" s="530">
        <v>642</v>
      </c>
      <c r="D271" s="530">
        <v>501</v>
      </c>
      <c r="E271" s="530">
        <v>468</v>
      </c>
      <c r="F271" s="531">
        <v>520</v>
      </c>
      <c r="G271" s="531">
        <v>537</v>
      </c>
      <c r="H271" s="531">
        <v>574</v>
      </c>
      <c r="I271" s="532">
        <v>463</v>
      </c>
      <c r="J271" s="532">
        <v>450</v>
      </c>
      <c r="K271" s="188">
        <v>451</v>
      </c>
      <c r="L271" s="497">
        <f>(B271/'Population Figures'!M5)*1000</f>
        <v>18.058480981291044</v>
      </c>
      <c r="M271" s="497">
        <f>(C271/'Population Figures'!P5)*1000</f>
        <v>19.894638983576076</v>
      </c>
      <c r="N271" s="497">
        <f>(D271/'Population Figures'!S5)*1000</f>
        <v>15.56142258114614</v>
      </c>
      <c r="O271" s="497">
        <f>(E271/'Population Figures'!V5)*1000</f>
        <v>14.53732177802628</v>
      </c>
      <c r="P271" s="497">
        <f>(F271/'Population Figures'!Y5)*1000</f>
        <v>16.196854072574368</v>
      </c>
      <c r="Q271" s="497">
        <f>(G271/'Population Figures'!AB5)*1000</f>
        <v>16.651679121833233</v>
      </c>
      <c r="R271" s="497">
        <f>(H271/'Population Figures'!AE5)*1000</f>
        <v>17.306880540312367</v>
      </c>
      <c r="S271" s="497">
        <v>13.73357458547148</v>
      </c>
      <c r="T271" s="398">
        <v>13.3</v>
      </c>
      <c r="U271" s="90">
        <v>13.163655468316744</v>
      </c>
      <c r="V271" s="497"/>
      <c r="X271" s="90"/>
    </row>
    <row r="272" spans="1:24">
      <c r="A272" s="133" t="s">
        <v>32</v>
      </c>
      <c r="B272" s="530">
        <v>298</v>
      </c>
      <c r="C272" s="530">
        <v>338</v>
      </c>
      <c r="D272" s="530">
        <v>462</v>
      </c>
      <c r="E272" s="530">
        <v>322</v>
      </c>
      <c r="F272" s="531">
        <v>320</v>
      </c>
      <c r="G272" s="531">
        <v>273</v>
      </c>
      <c r="H272" s="531">
        <v>335</v>
      </c>
      <c r="I272" s="532">
        <v>507</v>
      </c>
      <c r="J272" s="532">
        <v>560</v>
      </c>
      <c r="K272" s="188">
        <v>581</v>
      </c>
      <c r="L272" s="129">
        <f>(B272/'Population Figures'!M6)*1000</f>
        <v>8.1706514586532144</v>
      </c>
      <c r="M272" s="129">
        <f>(C272/'Population Figures'!P6)*1000</f>
        <v>9.0475935542587926</v>
      </c>
      <c r="N272" s="129">
        <f>(D272/'Population Figures'!S6)*1000</f>
        <v>12.071488294314381</v>
      </c>
      <c r="O272" s="129">
        <f>(E272/'Population Figures'!V6)*1000</f>
        <v>8.215543195387049</v>
      </c>
      <c r="P272" s="129">
        <f>(F272/'Population Figures'!Y6)*1000</f>
        <v>7.9956024186697316</v>
      </c>
      <c r="Q272" s="129">
        <f>(G272/'Population Figures'!AB6)*1000</f>
        <v>6.6373295081568644</v>
      </c>
      <c r="R272" s="129">
        <f>(H272/'Population Figures'!AE6)*1000</f>
        <v>7.80467348507793</v>
      </c>
      <c r="S272" s="129">
        <v>11.424064894096441</v>
      </c>
      <c r="T272" s="130">
        <v>12.6</v>
      </c>
      <c r="U272" s="90">
        <v>12.688914125971872</v>
      </c>
      <c r="V272" s="129"/>
      <c r="X272" s="90"/>
    </row>
    <row r="273" spans="1:24">
      <c r="A273" s="133" t="s">
        <v>33</v>
      </c>
      <c r="B273" s="530">
        <v>89</v>
      </c>
      <c r="C273" s="530">
        <v>109</v>
      </c>
      <c r="D273" s="530">
        <v>89</v>
      </c>
      <c r="E273" s="530">
        <v>101</v>
      </c>
      <c r="F273" s="531">
        <v>107</v>
      </c>
      <c r="G273" s="531">
        <v>109</v>
      </c>
      <c r="H273" s="531">
        <v>114</v>
      </c>
      <c r="I273" s="532">
        <v>106</v>
      </c>
      <c r="J273" s="532">
        <v>490</v>
      </c>
      <c r="K273" s="188">
        <v>389</v>
      </c>
      <c r="L273" s="129">
        <f>(B273/'Population Figures'!M7)*1000</f>
        <v>4.2897768352050898</v>
      </c>
      <c r="M273" s="129">
        <f>(C273/'Population Figures'!P7)*1000</f>
        <v>5.1727410782080483</v>
      </c>
      <c r="N273" s="129">
        <f>(D273/'Population Figures'!S7)*1000</f>
        <v>4.1318477251624888</v>
      </c>
      <c r="O273" s="129">
        <f>(E273/'Population Figures'!V7)*1000</f>
        <v>4.6013667425968112</v>
      </c>
      <c r="P273" s="129">
        <f>(F273/'Population Figures'!Y7)*1000</f>
        <v>4.7994976226787474</v>
      </c>
      <c r="Q273" s="129">
        <f>(G273/'Population Figures'!AB7)*1000</f>
        <v>4.6916024620152372</v>
      </c>
      <c r="R273" s="129">
        <f>(H273/'Population Figures'!AE7)*1000</f>
        <v>4.7041346868036635</v>
      </c>
      <c r="S273" s="129">
        <v>4.2467948717948714</v>
      </c>
      <c r="T273" s="130">
        <v>19.600000000000001</v>
      </c>
      <c r="U273" s="90">
        <v>15.175750009753052</v>
      </c>
      <c r="V273" s="129"/>
      <c r="X273" s="90"/>
    </row>
    <row r="274" spans="1:24">
      <c r="A274" s="133" t="s">
        <v>34</v>
      </c>
      <c r="B274" s="530">
        <v>218</v>
      </c>
      <c r="C274" s="530">
        <v>267</v>
      </c>
      <c r="D274" s="530">
        <v>312</v>
      </c>
      <c r="E274" s="530">
        <v>320</v>
      </c>
      <c r="F274" s="531">
        <v>351</v>
      </c>
      <c r="G274" s="531">
        <v>364</v>
      </c>
      <c r="H274" s="531">
        <v>417</v>
      </c>
      <c r="I274" s="532">
        <v>441</v>
      </c>
      <c r="J274" s="532">
        <v>500</v>
      </c>
      <c r="K274" s="188">
        <v>513</v>
      </c>
      <c r="L274" s="129">
        <f>(B274/'Population Figures'!M8)*1000</f>
        <v>11.979996702753201</v>
      </c>
      <c r="M274" s="129">
        <f>(C274/'Population Figures'!P8)*1000</f>
        <v>14.429312581063554</v>
      </c>
      <c r="N274" s="129">
        <f>(D274/'Population Figures'!S8)*1000</f>
        <v>16.633790051714026</v>
      </c>
      <c r="O274" s="129">
        <f>(E274/'Population Figures'!V8)*1000</f>
        <v>16.794373884748609</v>
      </c>
      <c r="P274" s="129">
        <f>(F274/'Population Figures'!Y8)*1000</f>
        <v>18.137660190161224</v>
      </c>
      <c r="Q274" s="129">
        <f>(G274/'Population Figures'!AB8)*1000</f>
        <v>18.679119412941962</v>
      </c>
      <c r="R274" s="129">
        <f>(H274/'Population Figures'!AE8)*1000</f>
        <v>20.689655172413794</v>
      </c>
      <c r="S274" s="129">
        <v>21.387002909796312</v>
      </c>
      <c r="T274" s="130">
        <v>24.2</v>
      </c>
      <c r="U274" s="90">
        <v>24.29897688518378</v>
      </c>
      <c r="V274" s="129"/>
      <c r="X274" s="90"/>
    </row>
    <row r="275" spans="1:24">
      <c r="A275" s="133" t="s">
        <v>35</v>
      </c>
      <c r="B275" s="530">
        <v>137</v>
      </c>
      <c r="C275" s="530">
        <v>154</v>
      </c>
      <c r="D275" s="530">
        <v>172</v>
      </c>
      <c r="E275" s="530">
        <v>132</v>
      </c>
      <c r="F275" s="531">
        <v>136</v>
      </c>
      <c r="G275" s="531">
        <v>140</v>
      </c>
      <c r="H275" s="531">
        <v>172</v>
      </c>
      <c r="I275" s="532">
        <v>180</v>
      </c>
      <c r="J275" s="532">
        <v>190</v>
      </c>
      <c r="K275" s="188">
        <v>184</v>
      </c>
      <c r="L275" s="129">
        <f>(B275/'Population Figures'!M9)*1000</f>
        <v>18.456149804661191</v>
      </c>
      <c r="M275" s="129">
        <f>(C275/'Population Figures'!P9)*1000</f>
        <v>20.351526364477337</v>
      </c>
      <c r="N275" s="129">
        <f>(D275/'Population Figures'!S9)*1000</f>
        <v>22.276907136381297</v>
      </c>
      <c r="O275" s="129">
        <f>(E275/'Population Figures'!V9)*1000</f>
        <v>16.764033528067056</v>
      </c>
      <c r="P275" s="129">
        <f>(F275/'Population Figures'!Y9)*1000</f>
        <v>16.808799901124704</v>
      </c>
      <c r="Q275" s="129">
        <f>(G275/'Population Figures'!AB9)*1000</f>
        <v>16.839066634592253</v>
      </c>
      <c r="R275" s="129">
        <f>(H275/'Population Figures'!AE9)*1000</f>
        <v>19.699919825907685</v>
      </c>
      <c r="S275" s="129">
        <v>19.957866725801086</v>
      </c>
      <c r="T275" s="130">
        <v>21.1</v>
      </c>
      <c r="U275" s="90">
        <v>19.723443027119735</v>
      </c>
      <c r="V275" s="129"/>
      <c r="X275" s="90"/>
    </row>
    <row r="276" spans="1:24">
      <c r="A276" s="133" t="s">
        <v>36</v>
      </c>
      <c r="B276" s="530">
        <v>736</v>
      </c>
      <c r="C276" s="530">
        <v>658</v>
      </c>
      <c r="D276" s="530">
        <v>646</v>
      </c>
      <c r="E276" s="530">
        <v>698</v>
      </c>
      <c r="F276" s="531">
        <v>896</v>
      </c>
      <c r="G276" s="531">
        <v>868</v>
      </c>
      <c r="H276" s="531">
        <v>984</v>
      </c>
      <c r="I276" s="532">
        <v>863</v>
      </c>
      <c r="J276" s="532">
        <v>630</v>
      </c>
      <c r="K276" s="188">
        <v>980</v>
      </c>
      <c r="L276" s="129">
        <f>(B276/'Population Figures'!M10)*1000</f>
        <v>24.096385542168676</v>
      </c>
      <c r="M276" s="129">
        <f>(C276/'Population Figures'!P10)*1000</f>
        <v>21.165723108594957</v>
      </c>
      <c r="N276" s="129">
        <f>(D276/'Population Figures'!S10)*1000</f>
        <v>20.339409968199995</v>
      </c>
      <c r="O276" s="129">
        <f>(E276/'Population Figures'!V10)*1000</f>
        <v>21.549195764255504</v>
      </c>
      <c r="P276" s="129">
        <f>(F276/'Population Figures'!Y10)*1000</f>
        <v>27.276325002283173</v>
      </c>
      <c r="Q276" s="129">
        <f>(G276/'Population Figures'!AB10)*1000</f>
        <v>26.062935383137159</v>
      </c>
      <c r="R276" s="129">
        <f>(H276/'Population Figures'!AE10)*1000</f>
        <v>28.656299143805697</v>
      </c>
      <c r="S276" s="129">
        <v>24.636026263202968</v>
      </c>
      <c r="T276" s="130">
        <v>18</v>
      </c>
      <c r="U276" s="90">
        <v>27.401090451558787</v>
      </c>
      <c r="V276" s="129"/>
      <c r="X276" s="90"/>
    </row>
    <row r="277" spans="1:24">
      <c r="A277" s="133" t="s">
        <v>37</v>
      </c>
      <c r="B277" s="530">
        <v>264</v>
      </c>
      <c r="C277" s="530">
        <v>310</v>
      </c>
      <c r="D277" s="530">
        <v>353</v>
      </c>
      <c r="E277" s="530">
        <v>397</v>
      </c>
      <c r="F277" s="531">
        <v>438</v>
      </c>
      <c r="G277" s="531">
        <v>450</v>
      </c>
      <c r="H277" s="531">
        <v>439</v>
      </c>
      <c r="I277" s="532">
        <v>438</v>
      </c>
      <c r="J277" s="532">
        <v>510</v>
      </c>
      <c r="K277" s="188">
        <v>466</v>
      </c>
      <c r="L277" s="129">
        <f>(B277/'Population Figures'!M11)*1000</f>
        <v>10.307668280493518</v>
      </c>
      <c r="M277" s="129">
        <f>(C277/'Population Figures'!P11)*1000</f>
        <v>12.067421853711705</v>
      </c>
      <c r="N277" s="129">
        <f>(D277/'Population Figures'!S11)*1000</f>
        <v>13.760573812029781</v>
      </c>
      <c r="O277" s="129">
        <f>(E277/'Population Figures'!V11)*1000</f>
        <v>15.509024142511134</v>
      </c>
      <c r="P277" s="129">
        <f>(F277/'Population Figures'!Y11)*1000</f>
        <v>17.075357685860201</v>
      </c>
      <c r="Q277" s="129">
        <f>(G277/'Population Figures'!AB11)*1000</f>
        <v>18.249655284289076</v>
      </c>
      <c r="R277" s="129">
        <f>(H277/'Population Figures'!AE11)*1000</f>
        <v>17.460128067454161</v>
      </c>
      <c r="S277" s="129">
        <v>17.214951067091143</v>
      </c>
      <c r="T277" s="130">
        <v>20</v>
      </c>
      <c r="U277" s="90">
        <v>18.064816250581487</v>
      </c>
      <c r="V277" s="129"/>
      <c r="X277" s="90"/>
    </row>
    <row r="278" spans="1:24">
      <c r="A278" s="133" t="s">
        <v>38</v>
      </c>
      <c r="B278" s="530">
        <v>546</v>
      </c>
      <c r="C278" s="530">
        <v>511</v>
      </c>
      <c r="D278" s="530">
        <v>569</v>
      </c>
      <c r="E278" s="530">
        <v>526</v>
      </c>
      <c r="F278" s="531">
        <v>339</v>
      </c>
      <c r="G278" s="531">
        <v>302</v>
      </c>
      <c r="H278" s="531">
        <v>341</v>
      </c>
      <c r="I278" s="532">
        <v>344</v>
      </c>
      <c r="J278" s="532">
        <v>350</v>
      </c>
      <c r="K278" s="188">
        <v>325</v>
      </c>
      <c r="L278" s="129">
        <f>(B278/'Population Figures'!M12)*1000</f>
        <v>27.283629822106736</v>
      </c>
      <c r="M278" s="129">
        <f>(C278/'Population Figures'!P12)*1000</f>
        <v>25.305799039271033</v>
      </c>
      <c r="N278" s="129">
        <f>(D278/'Population Figures'!S12)*1000</f>
        <v>27.852562533653138</v>
      </c>
      <c r="O278" s="129">
        <f>(E278/'Population Figures'!V12)*1000</f>
        <v>25.324987963408763</v>
      </c>
      <c r="P278" s="129">
        <f>(F278/'Population Figures'!Y12)*1000</f>
        <v>16.023065652030063</v>
      </c>
      <c r="Q278" s="129">
        <f>(G278/'Population Figures'!AB12)*1000</f>
        <v>14.093709165577749</v>
      </c>
      <c r="R278" s="129">
        <f>(H278/'Population Figures'!AE12)*1000</f>
        <v>15.331355093966371</v>
      </c>
      <c r="S278" s="129">
        <v>15.089704785717419</v>
      </c>
      <c r="T278" s="130">
        <v>15.4</v>
      </c>
      <c r="U278" s="90">
        <v>14.005602240896359</v>
      </c>
      <c r="V278" s="129"/>
      <c r="X278" s="90"/>
    </row>
    <row r="279" spans="1:24">
      <c r="A279" s="133" t="s">
        <v>39</v>
      </c>
      <c r="B279" s="530">
        <v>153</v>
      </c>
      <c r="C279" s="530">
        <v>194</v>
      </c>
      <c r="D279" s="530">
        <v>235</v>
      </c>
      <c r="E279" s="530">
        <v>175</v>
      </c>
      <c r="F279" s="531">
        <v>162</v>
      </c>
      <c r="G279" s="531">
        <v>169</v>
      </c>
      <c r="H279" s="531">
        <v>203</v>
      </c>
      <c r="I279" s="532">
        <v>288</v>
      </c>
      <c r="J279" s="532">
        <v>410</v>
      </c>
      <c r="K279" s="188">
        <v>642</v>
      </c>
      <c r="L279" s="129">
        <f>(B279/'Population Figures'!M13)*1000</f>
        <v>8.2693762836450126</v>
      </c>
      <c r="M279" s="129">
        <f>(C279/'Population Figures'!P13)*1000</f>
        <v>10.378216444658429</v>
      </c>
      <c r="N279" s="129">
        <f>(D279/'Population Figures'!S13)*1000</f>
        <v>12.356714691345042</v>
      </c>
      <c r="O279" s="129">
        <f>(E279/'Population Figures'!V13)*1000</f>
        <v>9.0094728171334442</v>
      </c>
      <c r="P279" s="129">
        <f>(F279/'Population Figures'!Y13)*1000</f>
        <v>8.172737362526485</v>
      </c>
      <c r="Q279" s="129">
        <f>(G279/'Population Figures'!AB13)*1000</f>
        <v>8.1963237790387495</v>
      </c>
      <c r="R279" s="129">
        <f>(H279/'Population Figures'!AE13)*1000</f>
        <v>9.4594594594594597</v>
      </c>
      <c r="S279" s="129">
        <v>13.088529358298491</v>
      </c>
      <c r="T279" s="130">
        <v>18.600000000000001</v>
      </c>
      <c r="U279" s="90">
        <v>28.376944837340879</v>
      </c>
      <c r="V279" s="129"/>
      <c r="X279" s="90"/>
    </row>
    <row r="280" spans="1:24">
      <c r="A280" s="133" t="s">
        <v>40</v>
      </c>
      <c r="B280" s="530">
        <v>282</v>
      </c>
      <c r="C280" s="530">
        <v>306</v>
      </c>
      <c r="D280" s="530">
        <v>317</v>
      </c>
      <c r="E280" s="530">
        <v>318</v>
      </c>
      <c r="F280" s="531">
        <v>316</v>
      </c>
      <c r="G280" s="531">
        <v>358</v>
      </c>
      <c r="H280" s="531">
        <v>406</v>
      </c>
      <c r="I280" s="532">
        <v>402</v>
      </c>
      <c r="J280" s="532">
        <v>420</v>
      </c>
      <c r="K280" s="188">
        <v>407</v>
      </c>
      <c r="L280" s="129">
        <f>(B280/'Population Figures'!M14)*1000</f>
        <v>17.132442284325638</v>
      </c>
      <c r="M280" s="129">
        <f>(C280/'Population Figures'!P14)*1000</f>
        <v>18.362938070091214</v>
      </c>
      <c r="N280" s="129">
        <f>(D280/'Population Figures'!S14)*1000</f>
        <v>18.752957879791765</v>
      </c>
      <c r="O280" s="129">
        <f>(E280/'Population Figures'!V14)*1000</f>
        <v>18.416632883535065</v>
      </c>
      <c r="P280" s="129">
        <f>(F280/'Population Figures'!Y14)*1000</f>
        <v>18.024184348619666</v>
      </c>
      <c r="Q280" s="129">
        <f>(G280/'Population Figures'!AB14)*1000</f>
        <v>19.987717045391101</v>
      </c>
      <c r="R280" s="129">
        <f>(H280/'Population Figures'!AE14)*1000</f>
        <v>21.8691085375707</v>
      </c>
      <c r="S280" s="129">
        <v>21.047120418848166</v>
      </c>
      <c r="T280" s="130">
        <v>22</v>
      </c>
      <c r="U280" s="90">
        <v>20.876077144029544</v>
      </c>
      <c r="V280" s="129"/>
      <c r="X280" s="90"/>
    </row>
    <row r="281" spans="1:24">
      <c r="A281" s="133" t="s">
        <v>41</v>
      </c>
      <c r="B281" s="530">
        <v>223</v>
      </c>
      <c r="C281" s="530">
        <v>224</v>
      </c>
      <c r="D281" s="530">
        <v>241</v>
      </c>
      <c r="E281" s="530">
        <v>262</v>
      </c>
      <c r="F281" s="531">
        <v>356</v>
      </c>
      <c r="G281" s="531">
        <v>367</v>
      </c>
      <c r="H281" s="531">
        <v>397</v>
      </c>
      <c r="I281" s="532">
        <v>413</v>
      </c>
      <c r="J281" s="532">
        <v>230</v>
      </c>
      <c r="K281" s="188">
        <v>171</v>
      </c>
      <c r="L281" s="129">
        <f>(B281/'Population Figures'!M15)*1000</f>
        <v>14.62582803174395</v>
      </c>
      <c r="M281" s="129">
        <f>(C281/'Population Figures'!P15)*1000</f>
        <v>14.587132065642095</v>
      </c>
      <c r="N281" s="129">
        <f>(D281/'Population Figures'!S15)*1000</f>
        <v>15.465571456073926</v>
      </c>
      <c r="O281" s="129">
        <f>(E281/'Population Figures'!V15)*1000</f>
        <v>16.492509127533676</v>
      </c>
      <c r="P281" s="129">
        <f>(F281/'Population Figures'!Y15)*1000</f>
        <v>22.113174731349773</v>
      </c>
      <c r="Q281" s="129">
        <f>(G281/'Population Figures'!AB15)*1000</f>
        <v>22.430020779855763</v>
      </c>
      <c r="R281" s="129">
        <f>(H281/'Population Figures'!AE15)*1000</f>
        <v>23.482787176150477</v>
      </c>
      <c r="S281" s="129">
        <v>23.922613531047269</v>
      </c>
      <c r="T281" s="130">
        <v>13.3</v>
      </c>
      <c r="U281" s="90">
        <v>9.6670247046186901</v>
      </c>
      <c r="V281" s="129"/>
      <c r="X281" s="90"/>
    </row>
    <row r="282" spans="1:24">
      <c r="A282" s="133" t="s">
        <v>140</v>
      </c>
      <c r="B282" s="530">
        <v>945</v>
      </c>
      <c r="C282" s="530">
        <v>1059</v>
      </c>
      <c r="D282" s="530">
        <v>1063</v>
      </c>
      <c r="E282" s="530">
        <v>1105</v>
      </c>
      <c r="F282" s="531">
        <v>1212</v>
      </c>
      <c r="G282" s="531">
        <v>1242</v>
      </c>
      <c r="H282" s="531">
        <v>1284</v>
      </c>
      <c r="I282" s="532">
        <v>1351</v>
      </c>
      <c r="J282" s="532">
        <v>1490</v>
      </c>
      <c r="K282" s="188">
        <v>1596</v>
      </c>
      <c r="L282" s="129">
        <f>(B282/'Population Figures'!M16)*1000</f>
        <v>13.815991461863478</v>
      </c>
      <c r="M282" s="129">
        <f>(C282/'Population Figures'!P16)*1000</f>
        <v>15.488796583396711</v>
      </c>
      <c r="N282" s="129">
        <f>(D282/'Population Figures'!S16)*1000</f>
        <v>15.493368313656902</v>
      </c>
      <c r="O282" s="129">
        <f>(E282/'Population Figures'!V16)*1000</f>
        <v>16.022852502755061</v>
      </c>
      <c r="P282" s="129">
        <f>(F282/'Population Figures'!Y16)*1000</f>
        <v>17.46573861916908</v>
      </c>
      <c r="Q282" s="129">
        <f>(G282/'Population Figures'!AB16)*1000</f>
        <v>18.044457358709863</v>
      </c>
      <c r="R282" s="129">
        <f>(H282/'Population Figures'!AE16)*1000</f>
        <v>18.11307978783433</v>
      </c>
      <c r="S282" s="129">
        <v>18.702585968215292</v>
      </c>
      <c r="T282" s="130">
        <v>20.6</v>
      </c>
      <c r="U282" s="90">
        <v>21.62337926269154</v>
      </c>
      <c r="V282" s="129"/>
      <c r="X282" s="90"/>
    </row>
    <row r="283" spans="1:24">
      <c r="A283" s="133" t="s">
        <v>42</v>
      </c>
      <c r="B283" s="530">
        <v>146</v>
      </c>
      <c r="C283" s="530">
        <v>158</v>
      </c>
      <c r="D283" s="530">
        <v>165</v>
      </c>
      <c r="E283" s="530">
        <v>152</v>
      </c>
      <c r="F283" s="531">
        <v>173</v>
      </c>
      <c r="G283" s="531">
        <v>141</v>
      </c>
      <c r="H283" s="531">
        <v>148</v>
      </c>
      <c r="I283" s="532">
        <v>146</v>
      </c>
      <c r="J283" s="532">
        <v>150</v>
      </c>
      <c r="K283" s="188">
        <v>141</v>
      </c>
      <c r="L283" s="129">
        <f>(B283/'Population Figures'!M17)*1000</f>
        <v>26.987060998151573</v>
      </c>
      <c r="M283" s="129">
        <f>(C283/'Population Figures'!P17)*1000</f>
        <v>29.054799558661273</v>
      </c>
      <c r="N283" s="129">
        <f>(D283/'Population Figures'!S17)*1000</f>
        <v>29.82646420824295</v>
      </c>
      <c r="O283" s="129">
        <f>(E283/'Population Figures'!V17)*1000</f>
        <v>27.065527065527064</v>
      </c>
      <c r="P283" s="129">
        <f>(F283/'Population Figures'!Y17)*1000</f>
        <v>30.527616022586905</v>
      </c>
      <c r="Q283" s="129">
        <f>(G283/'Population Figures'!AB17)*1000</f>
        <v>23.418036870951667</v>
      </c>
      <c r="R283" s="129">
        <f>(H283/'Population Figures'!AE17)*1000</f>
        <v>23.963730569948186</v>
      </c>
      <c r="S283" s="129">
        <v>23.300351101180976</v>
      </c>
      <c r="T283" s="130">
        <v>23.9</v>
      </c>
      <c r="U283" s="90">
        <v>21.874030406453613</v>
      </c>
      <c r="V283" s="129"/>
      <c r="X283" s="90"/>
    </row>
    <row r="284" spans="1:24">
      <c r="A284" s="133" t="s">
        <v>43</v>
      </c>
      <c r="B284" s="530">
        <v>415</v>
      </c>
      <c r="C284" s="530">
        <v>459</v>
      </c>
      <c r="D284" s="530">
        <v>439</v>
      </c>
      <c r="E284" s="530">
        <v>435</v>
      </c>
      <c r="F284" s="531">
        <v>413</v>
      </c>
      <c r="G284" s="531">
        <v>417</v>
      </c>
      <c r="H284" s="531">
        <v>374</v>
      </c>
      <c r="I284" s="532">
        <v>353</v>
      </c>
      <c r="J284" s="532">
        <v>390</v>
      </c>
      <c r="K284" s="188">
        <v>354</v>
      </c>
      <c r="L284" s="129">
        <f>(B284/'Population Figures'!M18)*1000</f>
        <v>17.572087902781895</v>
      </c>
      <c r="M284" s="129">
        <f>(C284/'Population Figures'!P18)*1000</f>
        <v>19.252548131370329</v>
      </c>
      <c r="N284" s="129">
        <f>(D284/'Population Figures'!S18)*1000</f>
        <v>18.094138982771412</v>
      </c>
      <c r="O284" s="129">
        <f>(E284/'Population Figures'!V18)*1000</f>
        <v>17.651355299464374</v>
      </c>
      <c r="P284" s="129">
        <f>(F284/'Population Figures'!Y18)*1000</f>
        <v>16.416901856342172</v>
      </c>
      <c r="Q284" s="129">
        <f>(G284/'Population Figures'!AB18)*1000</f>
        <v>16.367704203791654</v>
      </c>
      <c r="R284" s="129">
        <f>(H284/'Population Figures'!AE18)*1000</f>
        <v>14.134542705971278</v>
      </c>
      <c r="S284" s="129">
        <v>12.980804589247628</v>
      </c>
      <c r="T284" s="130">
        <v>14.3</v>
      </c>
      <c r="U284" s="90">
        <v>12.660491398733951</v>
      </c>
      <c r="V284" s="129"/>
      <c r="X284" s="90"/>
    </row>
    <row r="285" spans="1:24">
      <c r="A285" s="133" t="s">
        <v>44</v>
      </c>
      <c r="B285" s="530">
        <v>541</v>
      </c>
      <c r="C285" s="530">
        <v>555</v>
      </c>
      <c r="D285" s="530">
        <v>501</v>
      </c>
      <c r="E285" s="530">
        <v>521</v>
      </c>
      <c r="F285" s="531">
        <v>418</v>
      </c>
      <c r="G285" s="531">
        <v>579</v>
      </c>
      <c r="H285" s="531">
        <v>607</v>
      </c>
      <c r="I285" s="532">
        <v>651</v>
      </c>
      <c r="J285" s="532">
        <v>580</v>
      </c>
      <c r="K285" s="188">
        <v>577</v>
      </c>
      <c r="L285" s="129">
        <f>(B285/'Population Figures'!M19)*1000</f>
        <v>9.0407754010695189</v>
      </c>
      <c r="M285" s="129">
        <f>(C285/'Population Figures'!P19)*1000</f>
        <v>9.15071474501657</v>
      </c>
      <c r="N285" s="129">
        <f>(D285/'Population Figures'!S19)*1000</f>
        <v>8.1129661716839667</v>
      </c>
      <c r="O285" s="129">
        <f>(E285/'Population Figures'!V19)*1000</f>
        <v>8.2753581752914638</v>
      </c>
      <c r="P285" s="129">
        <f>(F285/'Population Figures'!Y19)*1000</f>
        <v>6.5093825430195436</v>
      </c>
      <c r="Q285" s="129">
        <f>(G285/'Population Figures'!AB19)*1000</f>
        <v>8.9632645478892208</v>
      </c>
      <c r="R285" s="129">
        <f>(H285/'Population Figures'!AE19)*1000</f>
        <v>9.0390600568850239</v>
      </c>
      <c r="S285" s="129">
        <v>9.4325953402109661</v>
      </c>
      <c r="T285" s="130">
        <v>8.4</v>
      </c>
      <c r="U285" s="90">
        <v>8.1195558870298186</v>
      </c>
      <c r="V285" s="129"/>
      <c r="X285" s="90"/>
    </row>
    <row r="286" spans="1:24">
      <c r="A286" s="133" t="s">
        <v>45</v>
      </c>
      <c r="B286" s="530">
        <v>2666</v>
      </c>
      <c r="C286" s="530">
        <v>2728</v>
      </c>
      <c r="D286" s="530">
        <v>2742</v>
      </c>
      <c r="E286" s="530">
        <v>2670</v>
      </c>
      <c r="F286" s="531">
        <v>2776</v>
      </c>
      <c r="G286" s="531">
        <v>2644</v>
      </c>
      <c r="H286" s="531">
        <v>2594</v>
      </c>
      <c r="I286" s="532">
        <v>2469</v>
      </c>
      <c r="J286" s="532">
        <v>2240</v>
      </c>
      <c r="K286" s="188">
        <v>2618</v>
      </c>
      <c r="L286" s="129">
        <f>(B286/'Population Figures'!M20)*1000</f>
        <v>31.561874770625906</v>
      </c>
      <c r="M286" s="129">
        <f>(C286/'Population Figures'!P20)*1000</f>
        <v>32.767194369039323</v>
      </c>
      <c r="N286" s="129">
        <f>(D286/'Population Figures'!S20)*1000</f>
        <v>33.264184590748627</v>
      </c>
      <c r="O286" s="129">
        <f>(E286/'Population Figures'!V20)*1000</f>
        <v>32.743058962032762</v>
      </c>
      <c r="P286" s="129">
        <f>(F286/'Population Figures'!Y20)*1000</f>
        <v>34.329668698910503</v>
      </c>
      <c r="Q286" s="129">
        <f>(G286/'Population Figures'!AB20)*1000</f>
        <v>32.145505829716356</v>
      </c>
      <c r="R286" s="129">
        <f>(H286/'Population Figures'!AE20)*1000</f>
        <v>31.268834832083702</v>
      </c>
      <c r="S286" s="129">
        <v>29.678691204577419</v>
      </c>
      <c r="T286" s="130">
        <v>26.9</v>
      </c>
      <c r="U286" s="90">
        <v>31.340907186381433</v>
      </c>
      <c r="V286" s="129"/>
      <c r="X286" s="90"/>
    </row>
    <row r="287" spans="1:24">
      <c r="A287" s="133" t="s">
        <v>46</v>
      </c>
      <c r="B287" s="530">
        <v>362</v>
      </c>
      <c r="C287" s="530">
        <v>271</v>
      </c>
      <c r="D287" s="530">
        <v>301</v>
      </c>
      <c r="E287" s="530">
        <v>349</v>
      </c>
      <c r="F287" s="531">
        <v>377</v>
      </c>
      <c r="G287" s="531">
        <v>370</v>
      </c>
      <c r="H287" s="531">
        <v>373</v>
      </c>
      <c r="I287" s="532">
        <v>353</v>
      </c>
      <c r="J287" s="532">
        <v>390</v>
      </c>
      <c r="K287" s="188">
        <v>433</v>
      </c>
      <c r="L287" s="129">
        <f>(B287/'Population Figures'!M21)*1000</f>
        <v>9.5170491889476043</v>
      </c>
      <c r="M287" s="129">
        <f>(C287/'Population Figures'!P21)*1000</f>
        <v>6.9796790892935325</v>
      </c>
      <c r="N287" s="129">
        <f>(D287/'Population Figures'!S21)*1000</f>
        <v>7.5508617013270447</v>
      </c>
      <c r="O287" s="129">
        <f>(E287/'Population Figures'!V21)*1000</f>
        <v>8.5384351910750098</v>
      </c>
      <c r="P287" s="129">
        <f>(F287/'Population Figures'!Y21)*1000</f>
        <v>9.0455396132252037</v>
      </c>
      <c r="Q287" s="129">
        <f>(G287/'Population Figures'!AB21)*1000</f>
        <v>8.5206337509211494</v>
      </c>
      <c r="R287" s="129">
        <f>(H287/'Population Figures'!AE21)*1000</f>
        <v>8.2800568282720644</v>
      </c>
      <c r="S287" s="129">
        <v>7.5847102554736683</v>
      </c>
      <c r="T287" s="130">
        <v>8.4</v>
      </c>
      <c r="U287" s="90">
        <v>9.0180152035822143</v>
      </c>
      <c r="V287" s="129"/>
      <c r="X287" s="90"/>
    </row>
    <row r="288" spans="1:24">
      <c r="A288" s="133" t="s">
        <v>47</v>
      </c>
      <c r="B288" s="530">
        <v>321</v>
      </c>
      <c r="C288" s="530">
        <v>367</v>
      </c>
      <c r="D288" s="530">
        <v>417</v>
      </c>
      <c r="E288" s="530">
        <v>402</v>
      </c>
      <c r="F288" s="531">
        <v>466</v>
      </c>
      <c r="G288" s="531">
        <v>396</v>
      </c>
      <c r="H288" s="531">
        <v>337</v>
      </c>
      <c r="I288" s="532">
        <v>334</v>
      </c>
      <c r="J288" s="532">
        <v>310</v>
      </c>
      <c r="K288" s="188">
        <v>377</v>
      </c>
      <c r="L288" s="129">
        <f>(B288/'Population Figures'!M22)*1000</f>
        <v>22.770802298361353</v>
      </c>
      <c r="M288" s="129">
        <f>(C288/'Population Figures'!P22)*1000</f>
        <v>26.002550658920221</v>
      </c>
      <c r="N288" s="129">
        <f>(D288/'Population Figures'!S22)*1000</f>
        <v>29.291935937060973</v>
      </c>
      <c r="O288" s="129">
        <f>(E288/'Population Figures'!V22)*1000</f>
        <v>27.986633249791144</v>
      </c>
      <c r="P288" s="129">
        <f>(F288/'Population Figures'!Y22)*1000</f>
        <v>32.260297680858429</v>
      </c>
      <c r="Q288" s="129">
        <f>(G288/'Population Figures'!AB22)*1000</f>
        <v>26.69003167756285</v>
      </c>
      <c r="R288" s="129">
        <f>(H288/'Population Figures'!AE22)*1000</f>
        <v>22.169594105650944</v>
      </c>
      <c r="S288" s="129">
        <v>21.646143875567077</v>
      </c>
      <c r="T288" s="130">
        <v>20.100000000000001</v>
      </c>
      <c r="U288" s="90">
        <v>24.026512013256006</v>
      </c>
      <c r="V288" s="129"/>
      <c r="X288" s="90"/>
    </row>
    <row r="289" spans="1:24">
      <c r="A289" s="133" t="s">
        <v>48</v>
      </c>
      <c r="B289" s="530">
        <v>210</v>
      </c>
      <c r="C289" s="530">
        <v>220</v>
      </c>
      <c r="D289" s="530">
        <v>284</v>
      </c>
      <c r="E289" s="530">
        <v>241</v>
      </c>
      <c r="F289" s="531">
        <v>239</v>
      </c>
      <c r="G289" s="531">
        <v>242</v>
      </c>
      <c r="H289" s="531">
        <v>261</v>
      </c>
      <c r="I289" s="532">
        <v>465</v>
      </c>
      <c r="J289" s="532">
        <v>250</v>
      </c>
      <c r="K289" s="188">
        <v>196</v>
      </c>
      <c r="L289" s="129">
        <f>(B289/'Population Figures'!M23)*1000</f>
        <v>16.61392405063291</v>
      </c>
      <c r="M289" s="129">
        <f>(C289/'Population Figures'!P23)*1000</f>
        <v>17.225180081428125</v>
      </c>
      <c r="N289" s="129">
        <f>(D289/'Population Figures'!S23)*1000</f>
        <v>21.889933713581009</v>
      </c>
      <c r="O289" s="129">
        <f>(E289/'Population Figures'!V23)*1000</f>
        <v>18.166742047339064</v>
      </c>
      <c r="P289" s="129">
        <f>(F289/'Population Figures'!Y23)*1000</f>
        <v>17.525848793722957</v>
      </c>
      <c r="Q289" s="129">
        <f>(G289/'Population Figures'!AB23)*1000</f>
        <v>17.194827341196532</v>
      </c>
      <c r="R289" s="129">
        <f>(H289/'Population Figures'!AE23)*1000</f>
        <v>17.749064943896634</v>
      </c>
      <c r="S289" s="129">
        <v>30.71334214002642</v>
      </c>
      <c r="T289" s="130">
        <v>16.5</v>
      </c>
      <c r="U289" s="90">
        <v>12.553641196438864</v>
      </c>
      <c r="V289" s="129"/>
      <c r="X289" s="90"/>
    </row>
    <row r="290" spans="1:24">
      <c r="A290" s="133" t="s">
        <v>49</v>
      </c>
      <c r="B290" s="530">
        <v>216</v>
      </c>
      <c r="C290" s="530">
        <v>225</v>
      </c>
      <c r="D290" s="530">
        <v>249</v>
      </c>
      <c r="E290" s="530">
        <v>289</v>
      </c>
      <c r="F290" s="531">
        <v>298</v>
      </c>
      <c r="G290" s="531">
        <v>318</v>
      </c>
      <c r="H290" s="531">
        <v>342</v>
      </c>
      <c r="I290" s="532">
        <v>342</v>
      </c>
      <c r="J290" s="532">
        <v>380</v>
      </c>
      <c r="K290" s="188">
        <v>374</v>
      </c>
      <c r="L290" s="129">
        <f>(B290/'Population Figures'!M24)*1000</f>
        <v>14.150943396226415</v>
      </c>
      <c r="M290" s="129">
        <f>(C290/'Population Figures'!P24)*1000</f>
        <v>14.461083617199048</v>
      </c>
      <c r="N290" s="129">
        <f>(D290/'Population Figures'!S24)*1000</f>
        <v>15.629903960831085</v>
      </c>
      <c r="O290" s="129">
        <f>(E290/'Population Figures'!V24)*1000</f>
        <v>17.775864189937263</v>
      </c>
      <c r="P290" s="129">
        <f>(F290/'Population Figures'!Y24)*1000</f>
        <v>17.957216028924375</v>
      </c>
      <c r="Q290" s="129">
        <f>(G290/'Population Figures'!AB24)*1000</f>
        <v>18.307426597582037</v>
      </c>
      <c r="R290" s="129">
        <f>(H290/'Population Figures'!AE24)*1000</f>
        <v>19.050802139037433</v>
      </c>
      <c r="S290" s="129">
        <v>18.505492127049401</v>
      </c>
      <c r="T290" s="130">
        <v>20.6</v>
      </c>
      <c r="U290" s="90">
        <v>19.684210526315791</v>
      </c>
      <c r="V290" s="129"/>
      <c r="X290" s="90"/>
    </row>
    <row r="291" spans="1:24">
      <c r="A291" s="133" t="s">
        <v>50</v>
      </c>
      <c r="B291" s="530">
        <v>298</v>
      </c>
      <c r="C291" s="530">
        <v>332</v>
      </c>
      <c r="D291" s="530">
        <v>423</v>
      </c>
      <c r="E291" s="530">
        <v>478</v>
      </c>
      <c r="F291" s="531">
        <v>396</v>
      </c>
      <c r="G291" s="531">
        <v>412</v>
      </c>
      <c r="H291" s="531">
        <v>535</v>
      </c>
      <c r="I291" s="532">
        <v>573</v>
      </c>
      <c r="J291" s="532">
        <v>630</v>
      </c>
      <c r="K291" s="188">
        <v>666</v>
      </c>
      <c r="L291" s="129">
        <f>(B291/'Population Figures'!M25)*1000</f>
        <v>12.61535856405046</v>
      </c>
      <c r="M291" s="129">
        <f>(C291/'Population Figures'!P25)*1000</f>
        <v>13.846602994536431</v>
      </c>
      <c r="N291" s="129">
        <f>(D291/'Population Figures'!S25)*1000</f>
        <v>17.341040462427745</v>
      </c>
      <c r="O291" s="129">
        <f>(E291/'Population Figures'!V25)*1000</f>
        <v>19.224581724581725</v>
      </c>
      <c r="P291" s="129">
        <f>(F291/'Population Figures'!Y25)*1000</f>
        <v>15.643517421189856</v>
      </c>
      <c r="Q291" s="129">
        <f>(G291/'Population Figures'!AB25)*1000</f>
        <v>15.810276679841897</v>
      </c>
      <c r="R291" s="129">
        <f>(H291/'Population Figures'!AE25)*1000</f>
        <v>19.754818698766709</v>
      </c>
      <c r="S291" s="129">
        <v>20.601876820191997</v>
      </c>
      <c r="T291" s="130">
        <v>22.7</v>
      </c>
      <c r="U291" s="90">
        <v>23.376623376623378</v>
      </c>
      <c r="V291" s="129"/>
      <c r="X291" s="90"/>
    </row>
    <row r="292" spans="1:24">
      <c r="A292" s="133" t="s">
        <v>51</v>
      </c>
      <c r="B292" s="530">
        <v>1091</v>
      </c>
      <c r="C292" s="530">
        <v>1086</v>
      </c>
      <c r="D292" s="530">
        <v>1066</v>
      </c>
      <c r="E292" s="530">
        <v>1066</v>
      </c>
      <c r="F292" s="531">
        <v>1089</v>
      </c>
      <c r="G292" s="531">
        <v>992</v>
      </c>
      <c r="H292" s="531">
        <v>1003</v>
      </c>
      <c r="I292" s="532">
        <v>1092</v>
      </c>
      <c r="J292" s="532">
        <v>1220</v>
      </c>
      <c r="K292" s="188">
        <v>1369</v>
      </c>
      <c r="L292" s="129">
        <f>(B292/'Population Figures'!M26)*1000</f>
        <v>23.123715054789002</v>
      </c>
      <c r="M292" s="129">
        <f>(C292/'Population Figures'!P26)*1000</f>
        <v>22.882909458690659</v>
      </c>
      <c r="N292" s="129">
        <f>(D292/'Population Figures'!S26)*1000</f>
        <v>22.120312921499867</v>
      </c>
      <c r="O292" s="129">
        <f>(E292/'Population Figures'!V26)*1000</f>
        <v>21.713889963945977</v>
      </c>
      <c r="P292" s="129">
        <f>(F292/'Population Figures'!Y26)*1000</f>
        <v>21.954317279196822</v>
      </c>
      <c r="Q292" s="129">
        <f>(G292/'Population Figures'!AB26)*1000</f>
        <v>19.54641287856397</v>
      </c>
      <c r="R292" s="129">
        <f>(H292/'Population Figures'!AE26)*1000</f>
        <v>19.169023774940754</v>
      </c>
      <c r="S292" s="129">
        <v>20.406256423672751</v>
      </c>
      <c r="T292" s="130">
        <v>22.8</v>
      </c>
      <c r="U292" s="90">
        <v>24.985399328369105</v>
      </c>
      <c r="V292" s="129"/>
      <c r="X292" s="90"/>
    </row>
    <row r="293" spans="1:24">
      <c r="A293" s="133" t="s">
        <v>52</v>
      </c>
      <c r="B293" s="530">
        <v>80</v>
      </c>
      <c r="C293" s="530">
        <v>63</v>
      </c>
      <c r="D293" s="530">
        <v>68</v>
      </c>
      <c r="E293" s="530">
        <v>57</v>
      </c>
      <c r="F293" s="531">
        <v>45</v>
      </c>
      <c r="G293" s="531">
        <v>45</v>
      </c>
      <c r="H293" s="531">
        <v>41</v>
      </c>
      <c r="I293" s="532">
        <v>49</v>
      </c>
      <c r="J293" s="532">
        <v>60</v>
      </c>
      <c r="K293" s="188">
        <v>70</v>
      </c>
      <c r="L293" s="129">
        <f>(B293/'Population Figures'!M27)*1000</f>
        <v>22.333891680625349</v>
      </c>
      <c r="M293" s="129">
        <f>(C293/'Population Figures'!P27)*1000</f>
        <v>17.040843927508792</v>
      </c>
      <c r="N293" s="129">
        <f>(D293/'Population Figures'!S27)*1000</f>
        <v>17.960908610670895</v>
      </c>
      <c r="O293" s="129">
        <f>(E293/'Population Figures'!V27)*1000</f>
        <v>14.652956298200515</v>
      </c>
      <c r="P293" s="129">
        <f>(F293/'Population Figures'!Y27)*1000</f>
        <v>11.295180722891565</v>
      </c>
      <c r="Q293" s="129">
        <f>(G293/'Population Figures'!AB27)*1000</f>
        <v>10.541110330288124</v>
      </c>
      <c r="R293" s="129">
        <f>(H293/'Population Figures'!AE27)*1000</f>
        <v>9.213483146067416</v>
      </c>
      <c r="S293" s="129">
        <v>10.745614035087719</v>
      </c>
      <c r="T293" s="130">
        <v>13.2</v>
      </c>
      <c r="U293" s="90">
        <v>14.839940640237439</v>
      </c>
      <c r="V293" s="129"/>
      <c r="X293" s="90"/>
    </row>
    <row r="294" spans="1:24">
      <c r="A294" s="133" t="s">
        <v>53</v>
      </c>
      <c r="B294" s="530">
        <v>255</v>
      </c>
      <c r="C294" s="530">
        <v>247</v>
      </c>
      <c r="D294" s="530">
        <v>266</v>
      </c>
      <c r="E294" s="530">
        <v>258</v>
      </c>
      <c r="F294" s="531">
        <v>301</v>
      </c>
      <c r="G294" s="531">
        <v>334</v>
      </c>
      <c r="H294" s="531">
        <v>309</v>
      </c>
      <c r="I294" s="532">
        <v>270</v>
      </c>
      <c r="J294" s="532">
        <v>320</v>
      </c>
      <c r="K294" s="188">
        <v>294</v>
      </c>
      <c r="L294" s="129">
        <f>(B294/'Population Figures'!M28)*1000</f>
        <v>9.4430454747444816</v>
      </c>
      <c r="M294" s="129">
        <f>(C294/'Population Figures'!P28)*1000</f>
        <v>8.992609312993773</v>
      </c>
      <c r="N294" s="129">
        <f>(D294/'Population Figures'!S28)*1000</f>
        <v>9.4996607264026292</v>
      </c>
      <c r="O294" s="129">
        <f>(E294/'Population Figures'!V28)*1000</f>
        <v>9.0529492262886411</v>
      </c>
      <c r="P294" s="129">
        <f>(F294/'Population Figures'!Y28)*1000</f>
        <v>10.341155048613736</v>
      </c>
      <c r="Q294" s="129">
        <f>(G294/'Population Figures'!AB28)*1000</f>
        <v>11.193029490616622</v>
      </c>
      <c r="R294" s="129">
        <f>(H294/'Population Figures'!AE28)*1000</f>
        <v>9.9764310851386693</v>
      </c>
      <c r="S294" s="129">
        <v>8.5079565148889245</v>
      </c>
      <c r="T294" s="130">
        <v>10.1</v>
      </c>
      <c r="U294" s="90">
        <v>9.0417025464386764</v>
      </c>
      <c r="V294" s="129"/>
      <c r="X294" s="90"/>
    </row>
    <row r="295" spans="1:24">
      <c r="A295" s="133" t="s">
        <v>54</v>
      </c>
      <c r="B295" s="530">
        <v>377</v>
      </c>
      <c r="C295" s="530">
        <v>402</v>
      </c>
      <c r="D295" s="530">
        <v>475</v>
      </c>
      <c r="E295" s="530">
        <v>305</v>
      </c>
      <c r="F295" s="531">
        <v>275</v>
      </c>
      <c r="G295" s="531">
        <v>280</v>
      </c>
      <c r="H295" s="531">
        <v>296</v>
      </c>
      <c r="I295" s="532">
        <v>386</v>
      </c>
      <c r="J295" s="532">
        <v>430</v>
      </c>
      <c r="K295" s="188">
        <v>465</v>
      </c>
      <c r="L295" s="129">
        <f>(B295/'Population Figures'!M29)*1000</f>
        <v>13.822688274547188</v>
      </c>
      <c r="M295" s="129">
        <f>(C295/'Population Figures'!P29)*1000</f>
        <v>14.622967516641809</v>
      </c>
      <c r="N295" s="129">
        <f>(D295/'Population Figures'!S29)*1000</f>
        <v>17.086330935251802</v>
      </c>
      <c r="O295" s="129">
        <f>(E295/'Population Figures'!V29)*1000</f>
        <v>10.813302134297667</v>
      </c>
      <c r="P295" s="129">
        <f>(F295/'Population Figures'!Y29)*1000</f>
        <v>9.6773058380546857</v>
      </c>
      <c r="Q295" s="129">
        <f>(G295/'Population Figures'!AB29)*1000</f>
        <v>9.4473311289560691</v>
      </c>
      <c r="R295" s="129">
        <f>(H295/'Population Figures'!AE29)*1000</f>
        <v>9.6836457617692293</v>
      </c>
      <c r="S295" s="129">
        <v>12.422360248447204</v>
      </c>
      <c r="T295" s="130">
        <v>13.8</v>
      </c>
      <c r="U295" s="90">
        <v>14.645208024944097</v>
      </c>
      <c r="V295" s="129"/>
      <c r="X295" s="90"/>
    </row>
    <row r="296" spans="1:24">
      <c r="A296" s="133" t="s">
        <v>55</v>
      </c>
      <c r="B296" s="530">
        <v>305</v>
      </c>
      <c r="C296" s="530">
        <v>280</v>
      </c>
      <c r="D296" s="530">
        <v>267</v>
      </c>
      <c r="E296" s="530">
        <v>306</v>
      </c>
      <c r="F296" s="531">
        <v>364</v>
      </c>
      <c r="G296" s="531">
        <v>297</v>
      </c>
      <c r="H296" s="531">
        <v>335</v>
      </c>
      <c r="I296" s="532">
        <v>265</v>
      </c>
      <c r="J296" s="532">
        <v>240</v>
      </c>
      <c r="K296" s="188">
        <v>227</v>
      </c>
      <c r="L296" s="129">
        <f>(B296/'Population Figures'!M30)*1000</f>
        <v>14.345515262687551</v>
      </c>
      <c r="M296" s="129">
        <f>(C296/'Population Figures'!P30)*1000</f>
        <v>12.998468037695558</v>
      </c>
      <c r="N296" s="129">
        <f>(D296/'Population Figures'!S30)*1000</f>
        <v>12.13691531433247</v>
      </c>
      <c r="O296" s="129">
        <f>(E296/'Population Figures'!V30)*1000</f>
        <v>13.592750533049042</v>
      </c>
      <c r="P296" s="129">
        <f>(F296/'Population Figures'!Y30)*1000</f>
        <v>15.909090909090908</v>
      </c>
      <c r="Q296" s="129">
        <f>(G296/'Population Figures'!AB30)*1000</f>
        <v>12.395659432387312</v>
      </c>
      <c r="R296" s="129">
        <f>(H296/'Population Figures'!AE30)*1000</f>
        <v>13.434392043631696</v>
      </c>
      <c r="S296" s="129">
        <v>10.310481674577854</v>
      </c>
      <c r="T296" s="130">
        <v>9.3000000000000007</v>
      </c>
      <c r="U296" s="90">
        <v>8.6210170521438609</v>
      </c>
      <c r="V296" s="129"/>
      <c r="X296" s="90"/>
    </row>
    <row r="297" spans="1:24">
      <c r="A297" s="133" t="s">
        <v>56</v>
      </c>
      <c r="B297" s="530">
        <v>77</v>
      </c>
      <c r="C297" s="530">
        <v>85</v>
      </c>
      <c r="D297" s="530">
        <v>100</v>
      </c>
      <c r="E297" s="530">
        <v>109</v>
      </c>
      <c r="F297" s="531">
        <v>119</v>
      </c>
      <c r="G297" s="531">
        <v>133</v>
      </c>
      <c r="H297" s="531">
        <v>102</v>
      </c>
      <c r="I297" s="532">
        <v>88</v>
      </c>
      <c r="J297" s="532">
        <v>70</v>
      </c>
      <c r="K297" s="188">
        <v>78</v>
      </c>
      <c r="L297" s="129">
        <f>(B297/'Population Figures'!M31)*1000</f>
        <v>22.640399882387534</v>
      </c>
      <c r="M297" s="129">
        <f>(C297/'Population Figures'!P31)*1000</f>
        <v>24.285714285714285</v>
      </c>
      <c r="N297" s="129">
        <f>(D297/'Population Figures'!S31)*1000</f>
        <v>27.624309392265193</v>
      </c>
      <c r="O297" s="129">
        <f>(E297/'Population Figures'!V31)*1000</f>
        <v>29.301075268817204</v>
      </c>
      <c r="P297" s="129">
        <f>(F297/'Population Figures'!Y31)*1000</f>
        <v>31.365313653136528</v>
      </c>
      <c r="Q297" s="129">
        <f>(G297/'Population Figures'!AB31)*1000</f>
        <v>35.03688092729189</v>
      </c>
      <c r="R297" s="129">
        <f>(H297/'Population Figures'!AE31)*1000</f>
        <v>25.615268709191362</v>
      </c>
      <c r="S297" s="129">
        <v>21.447721179624665</v>
      </c>
      <c r="T297" s="130">
        <v>17.100000000000001</v>
      </c>
      <c r="U297" s="90">
        <v>18.431001890359166</v>
      </c>
      <c r="V297" s="129"/>
      <c r="X297" s="90"/>
    </row>
    <row r="298" spans="1:24">
      <c r="A298" s="133" t="s">
        <v>57</v>
      </c>
      <c r="B298" s="530">
        <v>587</v>
      </c>
      <c r="C298" s="530">
        <v>615</v>
      </c>
      <c r="D298" s="530">
        <v>645</v>
      </c>
      <c r="E298" s="530">
        <v>654</v>
      </c>
      <c r="F298" s="531">
        <v>629</v>
      </c>
      <c r="G298" s="531">
        <v>622</v>
      </c>
      <c r="H298" s="531">
        <v>468</v>
      </c>
      <c r="I298" s="532">
        <v>517</v>
      </c>
      <c r="J298" s="532">
        <v>450</v>
      </c>
      <c r="K298" s="188">
        <v>437</v>
      </c>
      <c r="L298" s="129">
        <f>(B298/'Population Figures'!M32)*1000</f>
        <v>26.099328620337022</v>
      </c>
      <c r="M298" s="129">
        <f>(C298/'Population Figures'!P32)*1000</f>
        <v>27.002107481559538</v>
      </c>
      <c r="N298" s="129">
        <f>(D298/'Population Figures'!S32)*1000</f>
        <v>27.859364201796819</v>
      </c>
      <c r="O298" s="129">
        <f>(E298/'Population Figures'!V32)*1000</f>
        <v>27.89388381813529</v>
      </c>
      <c r="P298" s="129">
        <f>(F298/'Population Figures'!Y32)*1000</f>
        <v>26.443015092277292</v>
      </c>
      <c r="Q298" s="129">
        <f>(G298/'Population Figures'!AB32)*1000</f>
        <v>25.462583920091699</v>
      </c>
      <c r="R298" s="129">
        <f>(H298/'Population Figures'!AE32)*1000</f>
        <v>18.528049408131757</v>
      </c>
      <c r="S298" s="129">
        <v>20.020136307311027</v>
      </c>
      <c r="T298" s="130">
        <v>17.399999999999999</v>
      </c>
      <c r="U298" s="90">
        <v>16.56809220503488</v>
      </c>
      <c r="V298" s="129"/>
      <c r="X298" s="90"/>
    </row>
    <row r="299" spans="1:24">
      <c r="A299" s="133" t="s">
        <v>58</v>
      </c>
      <c r="B299" s="530">
        <v>989</v>
      </c>
      <c r="C299" s="530">
        <v>1069</v>
      </c>
      <c r="D299" s="530">
        <v>1092</v>
      </c>
      <c r="E299" s="530">
        <v>1232</v>
      </c>
      <c r="F299" s="531">
        <v>1196</v>
      </c>
      <c r="G299" s="531">
        <v>1128</v>
      </c>
      <c r="H299" s="531">
        <v>1093</v>
      </c>
      <c r="I299" s="532">
        <v>1035</v>
      </c>
      <c r="J299" s="532">
        <v>990</v>
      </c>
      <c r="K299" s="188">
        <v>1005</v>
      </c>
      <c r="L299" s="129">
        <f>(B299/'Population Figures'!M33)*1000</f>
        <v>20.102443188747511</v>
      </c>
      <c r="M299" s="129">
        <f>(C299/'Population Figures'!P33)*1000</f>
        <v>21.422845691382765</v>
      </c>
      <c r="N299" s="129">
        <f>(D299/'Population Figures'!S33)*1000</f>
        <v>21.566962257816048</v>
      </c>
      <c r="O299" s="129">
        <f>(E299/'Population Figures'!V33)*1000</f>
        <v>23.926976111866384</v>
      </c>
      <c r="P299" s="129">
        <f>(F299/'Population Figures'!Y33)*1000</f>
        <v>22.900909526089038</v>
      </c>
      <c r="Q299" s="129">
        <f>(G299/'Population Figures'!AB33)*1000</f>
        <v>21.180712032447051</v>
      </c>
      <c r="R299" s="129">
        <f>(H299/'Population Figures'!AE33)*1000</f>
        <v>19.865864519529616</v>
      </c>
      <c r="S299" s="129">
        <v>18.354643636170177</v>
      </c>
      <c r="T299" s="130">
        <v>17.600000000000001</v>
      </c>
      <c r="U299" s="90">
        <v>17.445493681433135</v>
      </c>
      <c r="V299" s="129"/>
      <c r="X299" s="90"/>
    </row>
    <row r="300" spans="1:24">
      <c r="A300" s="133" t="s">
        <v>59</v>
      </c>
      <c r="B300" s="530">
        <v>108</v>
      </c>
      <c r="C300" s="530">
        <v>110</v>
      </c>
      <c r="D300" s="530">
        <v>136</v>
      </c>
      <c r="E300" s="530">
        <v>141</v>
      </c>
      <c r="F300" s="531">
        <v>239</v>
      </c>
      <c r="G300" s="531">
        <v>262</v>
      </c>
      <c r="H300" s="531">
        <v>303</v>
      </c>
      <c r="I300" s="532">
        <v>315</v>
      </c>
      <c r="J300" s="532">
        <v>300</v>
      </c>
      <c r="K300" s="188">
        <v>324</v>
      </c>
      <c r="L300" s="129">
        <f>(B300/'Population Figures'!M34)*1000</f>
        <v>7.5630252100840334</v>
      </c>
      <c r="M300" s="129">
        <f>(C300/'Population Figures'!P34)*1000</f>
        <v>7.5856837459485549</v>
      </c>
      <c r="N300" s="129">
        <f>(D300/'Population Figures'!S34)*1000</f>
        <v>9.1798852514343565</v>
      </c>
      <c r="O300" s="129">
        <f>(E300/'Population Figures'!V34)*1000</f>
        <v>9.2885375494071152</v>
      </c>
      <c r="P300" s="129">
        <f>(F300/'Population Figures'!Y34)*1000</f>
        <v>15.524520948359857</v>
      </c>
      <c r="Q300" s="129">
        <f>(G300/'Population Figures'!AB34)*1000</f>
        <v>16.734798160449671</v>
      </c>
      <c r="R300" s="129">
        <f>(H300/'Population Figures'!AE34)*1000</f>
        <v>18.622088378095999</v>
      </c>
      <c r="S300" s="129">
        <v>18.996502231335182</v>
      </c>
      <c r="T300" s="130">
        <v>18.100000000000001</v>
      </c>
      <c r="U300" s="90">
        <v>19.198862289642097</v>
      </c>
      <c r="V300" s="129"/>
      <c r="X300" s="90"/>
    </row>
    <row r="301" spans="1:24">
      <c r="A301" s="133" t="s">
        <v>60</v>
      </c>
      <c r="B301" s="530">
        <v>391</v>
      </c>
      <c r="C301" s="530">
        <v>400</v>
      </c>
      <c r="D301" s="530">
        <v>411</v>
      </c>
      <c r="E301" s="530">
        <v>392</v>
      </c>
      <c r="F301" s="531">
        <v>377</v>
      </c>
      <c r="G301" s="531">
        <v>380</v>
      </c>
      <c r="H301" s="531">
        <v>427</v>
      </c>
      <c r="I301" s="532">
        <v>409</v>
      </c>
      <c r="J301" s="532">
        <v>390</v>
      </c>
      <c r="K301" s="188">
        <v>359</v>
      </c>
      <c r="L301" s="129">
        <f>(B301/'Population Figures'!M35)*1000</f>
        <v>26.773486715968229</v>
      </c>
      <c r="M301" s="129">
        <f>(C301/'Population Figures'!P35)*1000</f>
        <v>27.378507871321013</v>
      </c>
      <c r="N301" s="129">
        <f>(D301/'Population Figures'!S35)*1000</f>
        <v>28.091039573508304</v>
      </c>
      <c r="O301" s="129">
        <f>(E301/'Population Figures'!V35)*1000</f>
        <v>26.525916903505212</v>
      </c>
      <c r="P301" s="129">
        <f>(F301/'Population Figures'!Y35)*1000</f>
        <v>25.285043594902749</v>
      </c>
      <c r="Q301" s="129">
        <f>(G301/'Population Figures'!AB35)*1000</f>
        <v>25.353616226314386</v>
      </c>
      <c r="R301" s="129">
        <f>(H301/'Population Figures'!AE35)*1000</f>
        <v>27.961495645340843</v>
      </c>
      <c r="S301" s="129">
        <v>26.359886568703274</v>
      </c>
      <c r="T301" s="130">
        <v>25.1</v>
      </c>
      <c r="U301" s="90">
        <v>22.806683184041674</v>
      </c>
      <c r="V301" s="129"/>
      <c r="X301" s="90"/>
    </row>
    <row r="302" spans="1:24" ht="13.5" thickBot="1">
      <c r="A302" s="133" t="s">
        <v>61</v>
      </c>
      <c r="B302" s="530">
        <v>173</v>
      </c>
      <c r="C302" s="530">
        <v>185</v>
      </c>
      <c r="D302" s="530">
        <v>325</v>
      </c>
      <c r="E302" s="530">
        <v>342</v>
      </c>
      <c r="F302" s="531">
        <v>394</v>
      </c>
      <c r="G302" s="531">
        <v>385</v>
      </c>
      <c r="H302" s="531">
        <v>359</v>
      </c>
      <c r="I302" s="532">
        <v>408</v>
      </c>
      <c r="J302" s="532">
        <v>470</v>
      </c>
      <c r="K302" s="188">
        <v>498</v>
      </c>
      <c r="L302" s="129">
        <f>(B302/'Population Figures'!M36)*1000</f>
        <v>8.3185074770399563</v>
      </c>
      <c r="M302" s="129">
        <f>(C302/'Population Figures'!P36)*1000</f>
        <v>8.6400149448907158</v>
      </c>
      <c r="N302" s="129">
        <f>(D302/'Population Figures'!S36)*1000</f>
        <v>14.707878897587907</v>
      </c>
      <c r="O302" s="129">
        <f>(E302/'Population Figures'!V36)*1000</f>
        <v>15.036271708067707</v>
      </c>
      <c r="P302" s="129">
        <f>(F302/'Population Figures'!Y36)*1000</f>
        <v>16.800272897833874</v>
      </c>
      <c r="Q302" s="498">
        <f>(G302/'Population Figures'!AB36)*1000</f>
        <v>15.944669924625197</v>
      </c>
      <c r="R302" s="498">
        <f>(H302/'Population Figures'!AE36)*1000</f>
        <v>14.238686391940666</v>
      </c>
      <c r="S302" s="498">
        <v>15.556487589125711</v>
      </c>
      <c r="T302" s="440">
        <v>17.899999999999999</v>
      </c>
      <c r="U302" s="90">
        <v>18.356063398451898</v>
      </c>
      <c r="V302" s="498"/>
      <c r="X302" s="90"/>
    </row>
    <row r="303" spans="1:24" ht="13.5" thickBot="1">
      <c r="A303" s="134" t="s">
        <v>5</v>
      </c>
      <c r="B303" s="533">
        <v>14082</v>
      </c>
      <c r="C303" s="533">
        <v>14629</v>
      </c>
      <c r="D303" s="533">
        <v>15332</v>
      </c>
      <c r="E303" s="533">
        <v>15223</v>
      </c>
      <c r="F303" s="534">
        <v>15737</v>
      </c>
      <c r="G303" s="534">
        <v>15556</v>
      </c>
      <c r="H303" s="534">
        <v>15973</v>
      </c>
      <c r="I303" s="535">
        <v>16316</v>
      </c>
      <c r="J303" s="535">
        <v>16500</v>
      </c>
      <c r="K303" s="188">
        <v>16807</v>
      </c>
      <c r="L303" s="131">
        <f>(B303/'Population Figures'!M37)*1000</f>
        <v>16.804937658717279</v>
      </c>
      <c r="M303" s="131">
        <f>(C303/'Population Figures'!P37)*1000</f>
        <v>17.299875947980933</v>
      </c>
      <c r="N303" s="131">
        <f>(D303/'Population Figures'!S37)*1000</f>
        <v>17.899860252199829</v>
      </c>
      <c r="O303" s="131">
        <f>(E303/'Population Figures'!V37)*1000</f>
        <v>17.527679525441215</v>
      </c>
      <c r="P303" s="131">
        <f>(F303/'Population Figures'!Y37)*1000</f>
        <v>17.893283850222627</v>
      </c>
      <c r="Q303" s="131">
        <f>(G303/'Population Figures'!AB37)*1000</f>
        <v>17.354556854135151</v>
      </c>
      <c r="R303" s="131">
        <f>(H303/'Population Figures'!AE37)*1000</f>
        <v>17.254099644504841</v>
      </c>
      <c r="S303" s="131">
        <v>17.231655721741923</v>
      </c>
      <c r="T303" s="132">
        <v>17.399999999999999</v>
      </c>
      <c r="U303" s="90">
        <v>17.355628781409123</v>
      </c>
      <c r="V303" s="131"/>
      <c r="X303" s="90"/>
    </row>
    <row r="305" spans="1:4">
      <c r="A305" t="s">
        <v>93</v>
      </c>
      <c r="B305" t="s">
        <v>272</v>
      </c>
    </row>
    <row r="306" spans="1:4">
      <c r="A306" s="85" t="s">
        <v>366</v>
      </c>
    </row>
    <row r="308" spans="1:4">
      <c r="A308" s="1" t="s">
        <v>114</v>
      </c>
    </row>
    <row r="310" spans="1:4">
      <c r="A310" t="s">
        <v>104</v>
      </c>
      <c r="B310" t="s">
        <v>112</v>
      </c>
      <c r="D310" t="s">
        <v>113</v>
      </c>
    </row>
    <row r="311" spans="1:4">
      <c r="A311" s="3" t="s">
        <v>45</v>
      </c>
      <c r="B311" s="528">
        <v>31.340907186381433</v>
      </c>
      <c r="C311" s="90" t="str">
        <f>IF(A311=Cover!$C$5,B311,"")</f>
        <v/>
      </c>
      <c r="D311" s="391">
        <f>U303</f>
        <v>17.355628781409123</v>
      </c>
    </row>
    <row r="312" spans="1:4">
      <c r="A312" s="3" t="s">
        <v>39</v>
      </c>
      <c r="B312" s="528">
        <v>28.376944837340879</v>
      </c>
      <c r="C312" s="90" t="str">
        <f>IF(A312=Cover!$C$5,B312,"")</f>
        <v/>
      </c>
      <c r="D312" s="391">
        <f>U$303</f>
        <v>17.355628781409123</v>
      </c>
    </row>
    <row r="313" spans="1:4">
      <c r="A313" s="3" t="s">
        <v>36</v>
      </c>
      <c r="B313" s="528">
        <v>27.401090451558787</v>
      </c>
      <c r="C313" s="90" t="str">
        <f>IF(A313=Cover!$C$5,B313,"")</f>
        <v/>
      </c>
      <c r="D313" s="391">
        <f>U$303</f>
        <v>17.355628781409123</v>
      </c>
    </row>
    <row r="314" spans="1:4">
      <c r="A314" s="3" t="s">
        <v>51</v>
      </c>
      <c r="B314" s="528">
        <v>24.985399328369105</v>
      </c>
      <c r="C314" s="90" t="str">
        <f>IF(A314=Cover!$C$5,B314,"")</f>
        <v/>
      </c>
      <c r="D314" s="391">
        <f t="shared" ref="D314:D342" si="11">U$303</f>
        <v>17.355628781409123</v>
      </c>
    </row>
    <row r="315" spans="1:4">
      <c r="A315" s="3" t="s">
        <v>34</v>
      </c>
      <c r="B315" s="528">
        <v>24.29897688518378</v>
      </c>
      <c r="C315" s="90" t="str">
        <f>IF(A315=Cover!$C$5,B315,"")</f>
        <v/>
      </c>
      <c r="D315" s="391">
        <f t="shared" si="11"/>
        <v>17.355628781409123</v>
      </c>
    </row>
    <row r="316" spans="1:4">
      <c r="A316" s="3" t="s">
        <v>47</v>
      </c>
      <c r="B316" s="528">
        <v>24.026512013256006</v>
      </c>
      <c r="C316" s="90" t="str">
        <f>IF(A316=Cover!$C$5,B316,"")</f>
        <v/>
      </c>
      <c r="D316" s="391">
        <f t="shared" si="11"/>
        <v>17.355628781409123</v>
      </c>
    </row>
    <row r="317" spans="1:4">
      <c r="A317" s="3" t="s">
        <v>50</v>
      </c>
      <c r="B317" s="528">
        <v>23.376623376623378</v>
      </c>
      <c r="C317" s="90" t="str">
        <f>IF(A317=Cover!$C$5,B317,"")</f>
        <v/>
      </c>
      <c r="D317" s="391">
        <f t="shared" si="11"/>
        <v>17.355628781409123</v>
      </c>
    </row>
    <row r="318" spans="1:4">
      <c r="A318" s="3" t="s">
        <v>60</v>
      </c>
      <c r="B318" s="528">
        <v>22.806683184041674</v>
      </c>
      <c r="C318" s="90" t="str">
        <f>IF(A318=Cover!$C$5,B318,"")</f>
        <v/>
      </c>
      <c r="D318" s="391">
        <f t="shared" si="11"/>
        <v>17.355628781409123</v>
      </c>
    </row>
    <row r="319" spans="1:4">
      <c r="A319" s="3" t="s">
        <v>42</v>
      </c>
      <c r="B319" s="528">
        <v>21.874030406453613</v>
      </c>
      <c r="C319" s="90" t="str">
        <f>IF(A319=Cover!$C$5,B319,"")</f>
        <v/>
      </c>
      <c r="D319" s="391">
        <f t="shared" si="11"/>
        <v>17.355628781409123</v>
      </c>
    </row>
    <row r="320" spans="1:4">
      <c r="A320" s="3" t="s">
        <v>140</v>
      </c>
      <c r="B320" s="528">
        <v>21.62337926269154</v>
      </c>
      <c r="C320" s="90" t="str">
        <f>IF(A320=Cover!$C$5,B320,"")</f>
        <v/>
      </c>
      <c r="D320" s="391">
        <f t="shared" si="11"/>
        <v>17.355628781409123</v>
      </c>
    </row>
    <row r="321" spans="1:4">
      <c r="A321" s="3" t="s">
        <v>40</v>
      </c>
      <c r="B321" s="528">
        <v>20.876077144029544</v>
      </c>
      <c r="C321" s="90" t="str">
        <f>IF(A321=Cover!$C$5,B321,"")</f>
        <v/>
      </c>
      <c r="D321" s="391">
        <f t="shared" si="11"/>
        <v>17.355628781409123</v>
      </c>
    </row>
    <row r="322" spans="1:4">
      <c r="A322" s="3" t="s">
        <v>35</v>
      </c>
      <c r="B322" s="528">
        <v>19.723443027119735</v>
      </c>
      <c r="C322" s="90" t="str">
        <f>IF(A322=Cover!$C$5,B322,"")</f>
        <v/>
      </c>
      <c r="D322" s="391">
        <f t="shared" si="11"/>
        <v>17.355628781409123</v>
      </c>
    </row>
    <row r="323" spans="1:4">
      <c r="A323" s="3" t="s">
        <v>49</v>
      </c>
      <c r="B323" s="528">
        <v>19.684210526315791</v>
      </c>
      <c r="C323" s="90" t="str">
        <f>IF(A323=Cover!$C$5,B323,"")</f>
        <v/>
      </c>
      <c r="D323" s="391">
        <f t="shared" si="11"/>
        <v>17.355628781409123</v>
      </c>
    </row>
    <row r="324" spans="1:4">
      <c r="A324" s="3" t="s">
        <v>59</v>
      </c>
      <c r="B324" s="528">
        <v>19.198862289642097</v>
      </c>
      <c r="C324" s="90" t="str">
        <f>IF(A324=Cover!$C$5,B324,"")</f>
        <v/>
      </c>
      <c r="D324" s="391">
        <f t="shared" si="11"/>
        <v>17.355628781409123</v>
      </c>
    </row>
    <row r="325" spans="1:4">
      <c r="A325" s="3" t="s">
        <v>56</v>
      </c>
      <c r="B325" s="528">
        <v>18.431001890359166</v>
      </c>
      <c r="C325" s="90" t="str">
        <f>IF(A325=Cover!$C$5,B325,"")</f>
        <v/>
      </c>
      <c r="D325" s="391">
        <f t="shared" si="11"/>
        <v>17.355628781409123</v>
      </c>
    </row>
    <row r="326" spans="1:4">
      <c r="A326" s="3" t="s">
        <v>61</v>
      </c>
      <c r="B326" s="528">
        <v>18.356063398451898</v>
      </c>
      <c r="C326" s="90" t="str">
        <f>IF(A326=Cover!$C$5,B326,"")</f>
        <v/>
      </c>
      <c r="D326" s="391">
        <f t="shared" si="11"/>
        <v>17.355628781409123</v>
      </c>
    </row>
    <row r="327" spans="1:4">
      <c r="A327" s="3" t="s">
        <v>37</v>
      </c>
      <c r="B327" s="528">
        <v>18.064816250581487</v>
      </c>
      <c r="C327" s="90" t="str">
        <f>IF(A327=Cover!$C$5,B327,"")</f>
        <v/>
      </c>
      <c r="D327" s="391">
        <f t="shared" si="11"/>
        <v>17.355628781409123</v>
      </c>
    </row>
    <row r="328" spans="1:4">
      <c r="A328" s="3" t="s">
        <v>58</v>
      </c>
      <c r="B328" s="528">
        <v>17.445493681433135</v>
      </c>
      <c r="C328" s="90" t="str">
        <f>IF(A328=Cover!$C$5,B328,"")</f>
        <v/>
      </c>
      <c r="D328" s="391">
        <f t="shared" si="11"/>
        <v>17.355628781409123</v>
      </c>
    </row>
    <row r="329" spans="1:4">
      <c r="A329" s="3" t="s">
        <v>57</v>
      </c>
      <c r="B329" s="528">
        <v>16.56809220503488</v>
      </c>
      <c r="C329" s="90" t="str">
        <f>IF(A329=Cover!$C$5,B329,"")</f>
        <v/>
      </c>
      <c r="D329" s="391">
        <f t="shared" si="11"/>
        <v>17.355628781409123</v>
      </c>
    </row>
    <row r="330" spans="1:4">
      <c r="A330" s="3" t="s">
        <v>33</v>
      </c>
      <c r="B330" s="528">
        <v>15.175750009753052</v>
      </c>
      <c r="C330" s="90" t="str">
        <f>IF(A330=Cover!$C$5,B330,"")</f>
        <v/>
      </c>
      <c r="D330" s="391">
        <f t="shared" si="11"/>
        <v>17.355628781409123</v>
      </c>
    </row>
    <row r="331" spans="1:4">
      <c r="A331" s="3" t="s">
        <v>52</v>
      </c>
      <c r="B331" s="528">
        <v>14.839940640237439</v>
      </c>
      <c r="C331" s="90" t="str">
        <f>IF(A331=Cover!$C$5,B331,"")</f>
        <v/>
      </c>
      <c r="D331" s="391">
        <f t="shared" si="11"/>
        <v>17.355628781409123</v>
      </c>
    </row>
    <row r="332" spans="1:4">
      <c r="A332" s="3" t="s">
        <v>54</v>
      </c>
      <c r="B332" s="528">
        <v>14.645208024944097</v>
      </c>
      <c r="C332" s="90" t="str">
        <f>IF(A332=Cover!$C$5,B332,"")</f>
        <v/>
      </c>
      <c r="D332" s="391">
        <f t="shared" si="11"/>
        <v>17.355628781409123</v>
      </c>
    </row>
    <row r="333" spans="1:4">
      <c r="A333" s="3" t="s">
        <v>38</v>
      </c>
      <c r="B333" s="528">
        <v>14.005602240896359</v>
      </c>
      <c r="C333" s="90" t="str">
        <f>IF(A333=Cover!$C$5,B333,"")</f>
        <v/>
      </c>
      <c r="D333" s="391">
        <f t="shared" si="11"/>
        <v>17.355628781409123</v>
      </c>
    </row>
    <row r="334" spans="1:4">
      <c r="A334" s="3" t="s">
        <v>31</v>
      </c>
      <c r="B334" s="528">
        <v>13.163655468316744</v>
      </c>
      <c r="C334" s="90">
        <f>IF(A334=Cover!$C$5,B334,"")</f>
        <v>13.163655468316744</v>
      </c>
      <c r="D334" s="391">
        <f t="shared" si="11"/>
        <v>17.355628781409123</v>
      </c>
    </row>
    <row r="335" spans="1:4">
      <c r="A335" s="3" t="s">
        <v>32</v>
      </c>
      <c r="B335" s="528">
        <v>12.688914125971872</v>
      </c>
      <c r="C335" s="90" t="str">
        <f>IF(A335=Cover!$C$5,B335,"")</f>
        <v/>
      </c>
      <c r="D335" s="391">
        <f t="shared" si="11"/>
        <v>17.355628781409123</v>
      </c>
    </row>
    <row r="336" spans="1:4">
      <c r="A336" s="3" t="s">
        <v>43</v>
      </c>
      <c r="B336" s="528">
        <v>12.660491398733951</v>
      </c>
      <c r="C336" s="90" t="str">
        <f>IF(A336=Cover!$C$5,B336,"")</f>
        <v/>
      </c>
      <c r="D336" s="391">
        <f t="shared" si="11"/>
        <v>17.355628781409123</v>
      </c>
    </row>
    <row r="337" spans="1:24">
      <c r="A337" s="3" t="s">
        <v>48</v>
      </c>
      <c r="B337" s="528">
        <v>12.553641196438864</v>
      </c>
      <c r="C337" s="90" t="str">
        <f>IF(A337=Cover!$C$5,B337,"")</f>
        <v/>
      </c>
      <c r="D337" s="391">
        <f t="shared" si="11"/>
        <v>17.355628781409123</v>
      </c>
    </row>
    <row r="338" spans="1:24">
      <c r="A338" s="3" t="s">
        <v>41</v>
      </c>
      <c r="B338" s="528">
        <v>9.6670247046186901</v>
      </c>
      <c r="C338" s="90" t="str">
        <f>IF(A338=Cover!$C$5,B338,"")</f>
        <v/>
      </c>
      <c r="D338" s="391">
        <f t="shared" si="11"/>
        <v>17.355628781409123</v>
      </c>
    </row>
    <row r="339" spans="1:24">
      <c r="A339" s="3" t="s">
        <v>53</v>
      </c>
      <c r="B339" s="528">
        <v>9.0417025464386764</v>
      </c>
      <c r="C339" s="90" t="str">
        <f>IF(A339=Cover!$C$5,B339,"")</f>
        <v/>
      </c>
      <c r="D339" s="391">
        <f t="shared" si="11"/>
        <v>17.355628781409123</v>
      </c>
    </row>
    <row r="340" spans="1:24">
      <c r="A340" s="3" t="s">
        <v>46</v>
      </c>
      <c r="B340" s="528">
        <v>9.0180152035822143</v>
      </c>
      <c r="C340" s="90" t="str">
        <f>IF(A340=Cover!$C$5,B340,"")</f>
        <v/>
      </c>
      <c r="D340" s="391">
        <f t="shared" si="11"/>
        <v>17.355628781409123</v>
      </c>
    </row>
    <row r="341" spans="1:24">
      <c r="A341" s="3" t="s">
        <v>55</v>
      </c>
      <c r="B341" s="528">
        <v>8.6210170521438609</v>
      </c>
      <c r="C341" s="90" t="str">
        <f>IF(A341=Cover!$C$5,B341,"")</f>
        <v/>
      </c>
      <c r="D341" s="391">
        <f t="shared" si="11"/>
        <v>17.355628781409123</v>
      </c>
    </row>
    <row r="342" spans="1:24">
      <c r="A342" s="3" t="s">
        <v>44</v>
      </c>
      <c r="B342" s="528">
        <v>8.1195558870298186</v>
      </c>
      <c r="C342" s="90" t="str">
        <f>IF(A342=Cover!$C$5,B342,"")</f>
        <v/>
      </c>
      <c r="D342" s="391">
        <f t="shared" si="11"/>
        <v>17.355628781409123</v>
      </c>
    </row>
    <row r="343" spans="1:24">
      <c r="D343" s="90"/>
    </row>
    <row r="344" spans="1:24">
      <c r="A344" t="str">
        <f>Cover!$C$5</f>
        <v>Aberdeen City</v>
      </c>
      <c r="B344" s="90">
        <f>VLOOKUP(Cover!$C$5,'Statistics - Older People'!$A$310:$D$342,2,0)</f>
        <v>13.163655468316744</v>
      </c>
    </row>
    <row r="348" spans="1:24">
      <c r="A348" s="1" t="s">
        <v>386</v>
      </c>
      <c r="P348" s="1" t="s">
        <v>358</v>
      </c>
    </row>
    <row r="349" spans="1:24">
      <c r="A349" s="1"/>
    </row>
    <row r="350" spans="1:24">
      <c r="B350" s="753" t="s">
        <v>119</v>
      </c>
      <c r="C350" s="753"/>
      <c r="D350" s="753"/>
      <c r="E350" s="754"/>
      <c r="F350" s="752" t="s">
        <v>129</v>
      </c>
      <c r="G350" s="753"/>
      <c r="H350" s="753"/>
      <c r="I350" s="753"/>
      <c r="J350" s="753"/>
      <c r="K350" s="753"/>
      <c r="L350" s="753"/>
      <c r="M350" s="597"/>
    </row>
    <row r="351" spans="1:24" ht="114.75">
      <c r="B351" s="116" t="s">
        <v>125</v>
      </c>
      <c r="C351" s="116" t="s">
        <v>126</v>
      </c>
      <c r="D351" s="241" t="s">
        <v>127</v>
      </c>
      <c r="E351" s="536" t="s">
        <v>359</v>
      </c>
      <c r="F351" s="242" t="s">
        <v>110</v>
      </c>
      <c r="G351" s="243" t="s">
        <v>125</v>
      </c>
      <c r="H351" s="116" t="s">
        <v>126</v>
      </c>
      <c r="I351" s="241" t="s">
        <v>127</v>
      </c>
      <c r="J351" s="536" t="s">
        <v>359</v>
      </c>
      <c r="K351" s="116" t="s">
        <v>110</v>
      </c>
      <c r="L351" s="598"/>
      <c r="O351" s="244" t="s">
        <v>26</v>
      </c>
      <c r="P351" s="245" t="s">
        <v>210</v>
      </c>
      <c r="Q351" s="245" t="s">
        <v>211</v>
      </c>
      <c r="R351" s="245" t="s">
        <v>147</v>
      </c>
      <c r="S351" s="537" t="s">
        <v>359</v>
      </c>
      <c r="T351" s="245" t="s">
        <v>110</v>
      </c>
      <c r="U351" s="599"/>
      <c r="W351" s="176" t="s">
        <v>194</v>
      </c>
      <c r="X351" s="176" t="s">
        <v>195</v>
      </c>
    </row>
    <row r="352" spans="1:24">
      <c r="A352" s="91" t="s">
        <v>31</v>
      </c>
      <c r="B352" s="538">
        <v>0</v>
      </c>
      <c r="C352" s="538">
        <v>17700</v>
      </c>
      <c r="D352" s="538">
        <v>0</v>
      </c>
      <c r="E352" s="539">
        <v>200</v>
      </c>
      <c r="F352" s="540">
        <v>17900</v>
      </c>
      <c r="G352" s="102">
        <f>(B352/'Population Figures'!$AK5)*1000</f>
        <v>0</v>
      </c>
      <c r="H352" s="93">
        <f>(C352/'Population Figures'!$AK5)*1000</f>
        <v>516.62239864569051</v>
      </c>
      <c r="I352" s="93">
        <f>(D352/'Population Figures'!$AK5)*1000</f>
        <v>0</v>
      </c>
      <c r="J352" s="93">
        <f>(E352/'Population Figures'!$AK5)*1000</f>
        <v>5.8375412276349206</v>
      </c>
      <c r="K352" s="93">
        <f>(F352/'Population Figures'!$AK5)*1000</f>
        <v>522.45993987332542</v>
      </c>
      <c r="L352" s="129"/>
      <c r="O352" s="91" t="s">
        <v>39</v>
      </c>
      <c r="P352" s="541">
        <v>13.260254596888259</v>
      </c>
      <c r="Q352" s="542">
        <v>450.84865629420085</v>
      </c>
      <c r="R352" s="542">
        <v>525.99009900990097</v>
      </c>
      <c r="S352" s="543">
        <v>8.8401697312588396</v>
      </c>
      <c r="T352" s="540">
        <v>1122.7015558698727</v>
      </c>
      <c r="U352" s="600"/>
      <c r="V352" s="90" t="e">
        <f>IF($O352=Cover!$C$5,0,IF($O352="Scotland",0,NA()))</f>
        <v>#N/A</v>
      </c>
      <c r="W352" s="90">
        <f>IF($O352=Cover!$C$5,NA(),IF($O352="Scotland",NA(),0))</f>
        <v>0</v>
      </c>
    </row>
    <row r="353" spans="1:23">
      <c r="A353" s="91" t="s">
        <v>32</v>
      </c>
      <c r="B353" s="538">
        <v>7600</v>
      </c>
      <c r="C353" s="538">
        <v>8200</v>
      </c>
      <c r="D353" s="538">
        <v>2200</v>
      </c>
      <c r="E353" s="539">
        <v>0</v>
      </c>
      <c r="F353" s="540">
        <v>18000</v>
      </c>
      <c r="G353" s="102">
        <f>(B353/'Population Figures'!$AK6)*1000</f>
        <v>165.98235345505373</v>
      </c>
      <c r="H353" s="93">
        <f>(C353/'Population Figures'!$AK6)*1000</f>
        <v>179.08622346466325</v>
      </c>
      <c r="I353" s="93">
        <f>(D353/'Population Figures'!$AK6)*1000</f>
        <v>48.047523368568186</v>
      </c>
      <c r="J353" s="93">
        <f>(E353/'Population Figures'!$AK6)*1000</f>
        <v>0</v>
      </c>
      <c r="K353" s="93">
        <f>(F353/'Population Figures'!$AK6)*1000</f>
        <v>393.11610028828517</v>
      </c>
      <c r="L353" s="129"/>
      <c r="O353" s="91" t="s">
        <v>59</v>
      </c>
      <c r="P353" s="541">
        <v>71.106897369044802</v>
      </c>
      <c r="Q353" s="542">
        <v>942.16639013984366</v>
      </c>
      <c r="R353" s="542">
        <v>23.702299123014932</v>
      </c>
      <c r="S353" s="543">
        <v>82.958046930552271</v>
      </c>
      <c r="T353" s="540">
        <v>1119.9336335624555</v>
      </c>
      <c r="U353" s="600"/>
      <c r="V353" s="90" t="e">
        <f>IF($O353=Cover!$C$5,0,IF($O353="Scotland",0,NA()))</f>
        <v>#N/A</v>
      </c>
      <c r="W353" s="90">
        <f>IF($O353=Cover!$C$5,NA(),IF($O353="Scotland",NA(),0))</f>
        <v>0</v>
      </c>
    </row>
    <row r="354" spans="1:23">
      <c r="A354" s="91" t="s">
        <v>33</v>
      </c>
      <c r="B354" s="538">
        <v>8100</v>
      </c>
      <c r="C354" s="538">
        <v>3800</v>
      </c>
      <c r="D354" s="538">
        <v>5100</v>
      </c>
      <c r="E354" s="539">
        <v>300</v>
      </c>
      <c r="F354" s="540">
        <v>17300</v>
      </c>
      <c r="G354" s="102">
        <f>(B354/'Population Figures'!$AK7)*1000</f>
        <v>315.99890765809698</v>
      </c>
      <c r="H354" s="93">
        <f>(C354/'Population Figures'!$AK7)*1000</f>
        <v>148.24640112355166</v>
      </c>
      <c r="I354" s="93">
        <f>(D354/'Population Figures'!$AK7)*1000</f>
        <v>198.96227519213514</v>
      </c>
      <c r="J354" s="93">
        <f>(E354/'Population Figures'!$AK7)*1000</f>
        <v>11.703663246596184</v>
      </c>
      <c r="K354" s="93">
        <f>(F354/'Population Figures'!$AK7)*1000</f>
        <v>674.91124722038001</v>
      </c>
      <c r="L354" s="129"/>
      <c r="O354" s="91" t="s">
        <v>40</v>
      </c>
      <c r="P354" s="541">
        <v>66.680344686089455</v>
      </c>
      <c r="Q354" s="542">
        <v>989.94665572425106</v>
      </c>
      <c r="R354" s="542">
        <v>30.775543701272056</v>
      </c>
      <c r="S354" s="543">
        <v>25.64628641772671</v>
      </c>
      <c r="T354" s="540">
        <v>1102.7903159622488</v>
      </c>
      <c r="U354" s="600"/>
      <c r="V354" s="90" t="e">
        <f>IF($O354=Cover!$C$5,0,IF($O354="Scotland",0,NA()))</f>
        <v>#N/A</v>
      </c>
      <c r="W354" s="90">
        <f>IF($O354=Cover!$C$5,NA(),IF($O354="Scotland",NA(),0))</f>
        <v>0</v>
      </c>
    </row>
    <row r="355" spans="1:23">
      <c r="A355" s="91" t="s">
        <v>34</v>
      </c>
      <c r="B355" s="538">
        <v>1800</v>
      </c>
      <c r="C355" s="538">
        <v>9900</v>
      </c>
      <c r="D355" s="538">
        <v>400</v>
      </c>
      <c r="E355" s="539">
        <v>100</v>
      </c>
      <c r="F355" s="540">
        <v>12200</v>
      </c>
      <c r="G355" s="102">
        <f>(B355/'Population Figures'!$AK8)*1000</f>
        <v>85.259568018188702</v>
      </c>
      <c r="H355" s="93">
        <f>(C355/'Population Figures'!$AK8)*1000</f>
        <v>468.92762410003792</v>
      </c>
      <c r="I355" s="93">
        <f>(D355/'Population Figures'!$AK8)*1000</f>
        <v>18.946570670708603</v>
      </c>
      <c r="J355" s="93">
        <f>(E355/'Population Figures'!$AK8)*1000</f>
        <v>4.7366426676771507</v>
      </c>
      <c r="K355" s="93">
        <f>(F355/'Population Figures'!$AK8)*1000</f>
        <v>577.87040545661239</v>
      </c>
      <c r="L355" s="129"/>
      <c r="O355" s="91" t="s">
        <v>36</v>
      </c>
      <c r="P355" s="541">
        <v>117.43324479239479</v>
      </c>
      <c r="Q355" s="542">
        <v>830.42080246050614</v>
      </c>
      <c r="R355" s="542">
        <v>120.22927443030896</v>
      </c>
      <c r="S355" s="543">
        <v>30.75632601705578</v>
      </c>
      <c r="T355" s="540">
        <v>1096.0436180623515</v>
      </c>
      <c r="U355" s="600"/>
      <c r="V355" s="90" t="e">
        <f>IF($O355=Cover!$C$5,0,IF($O355="Scotland",0,NA()))</f>
        <v>#N/A</v>
      </c>
      <c r="W355" s="90">
        <f>IF($O355=Cover!$C$5,NA(),IF($O355="Scotland",NA(),0))</f>
        <v>0</v>
      </c>
    </row>
    <row r="356" spans="1:23">
      <c r="A356" s="91" t="s">
        <v>35</v>
      </c>
      <c r="B356" s="538">
        <v>600</v>
      </c>
      <c r="C356" s="538">
        <v>7000</v>
      </c>
      <c r="D356" s="538">
        <v>0</v>
      </c>
      <c r="E356" s="539">
        <v>100</v>
      </c>
      <c r="F356" s="540">
        <v>7600</v>
      </c>
      <c r="G356" s="102">
        <f>(B356/'Population Figures'!$AK9)*1000</f>
        <v>64.315575088433917</v>
      </c>
      <c r="H356" s="93">
        <f>(C356/'Population Figures'!$AK9)*1000</f>
        <v>750.348376031729</v>
      </c>
      <c r="I356" s="93">
        <f>(D356/'Population Figures'!$AK9)*1000</f>
        <v>0</v>
      </c>
      <c r="J356" s="93">
        <f>(E356/'Population Figures'!$AK9)*1000</f>
        <v>10.719262514738986</v>
      </c>
      <c r="K356" s="93">
        <f>(F356/'Population Figures'!$AK9)*1000</f>
        <v>814.66395112016301</v>
      </c>
      <c r="L356" s="129"/>
      <c r="O356" s="91" t="s">
        <v>54</v>
      </c>
      <c r="P356" s="541">
        <v>220.46549714969606</v>
      </c>
      <c r="Q356" s="542">
        <v>809.42332524959852</v>
      </c>
      <c r="R356" s="542">
        <v>40.943592327800694</v>
      </c>
      <c r="S356" s="543">
        <v>18.89704261283109</v>
      </c>
      <c r="T356" s="540">
        <v>1089.7294573399263</v>
      </c>
      <c r="U356" s="600"/>
      <c r="V356" s="90" t="e">
        <f>IF($O356=Cover!$C$5,0,IF($O356="Scotland",0,NA()))</f>
        <v>#N/A</v>
      </c>
      <c r="W356" s="90">
        <f>IF($O356=Cover!$C$5,NA(),IF($O356="Scotland",NA(),0))</f>
        <v>0</v>
      </c>
    </row>
    <row r="357" spans="1:23">
      <c r="A357" s="91" t="s">
        <v>36</v>
      </c>
      <c r="B357" s="538">
        <v>4200</v>
      </c>
      <c r="C357" s="538">
        <v>29700</v>
      </c>
      <c r="D357" s="538">
        <v>4300</v>
      </c>
      <c r="E357" s="539">
        <v>1100</v>
      </c>
      <c r="F357" s="540">
        <v>39200</v>
      </c>
      <c r="G357" s="102">
        <f>(B357/'Population Figures'!$AK10)*1000</f>
        <v>117.43324479239479</v>
      </c>
      <c r="H357" s="93">
        <f>(C357/'Population Figures'!$AK10)*1000</f>
        <v>830.42080246050614</v>
      </c>
      <c r="I357" s="93">
        <f>(D357/'Population Figures'!$AK10)*1000</f>
        <v>120.22927443030896</v>
      </c>
      <c r="J357" s="93">
        <f>(E357/'Population Figures'!$AK10)*1000</f>
        <v>30.75632601705578</v>
      </c>
      <c r="K357" s="93">
        <f>(F357/'Population Figures'!$AK10)*1000</f>
        <v>1096.0436180623515</v>
      </c>
      <c r="L357" s="129"/>
      <c r="O357" s="94" t="s">
        <v>47</v>
      </c>
      <c r="P357" s="544">
        <v>293.16168504238101</v>
      </c>
      <c r="Q357" s="545">
        <v>108.34236186348862</v>
      </c>
      <c r="R357" s="545">
        <v>656.42725129054872</v>
      </c>
      <c r="S357" s="546">
        <v>0</v>
      </c>
      <c r="T357" s="547">
        <v>1064.3043783060352</v>
      </c>
      <c r="U357" s="600"/>
      <c r="V357" s="90" t="e">
        <f>IF($O357=Cover!$C$5,0,IF($O357="Scotland",0,NA()))</f>
        <v>#N/A</v>
      </c>
      <c r="W357" s="90">
        <f>IF($O357=Cover!$C$5,NA(),IF($O357="Scotland",NA(),0))</f>
        <v>0</v>
      </c>
    </row>
    <row r="358" spans="1:23">
      <c r="A358" s="91" t="s">
        <v>37</v>
      </c>
      <c r="B358" s="538">
        <v>6000</v>
      </c>
      <c r="C358" s="538">
        <v>6000</v>
      </c>
      <c r="D358" s="538">
        <v>3500</v>
      </c>
      <c r="E358" s="539">
        <v>500</v>
      </c>
      <c r="F358" s="540">
        <v>16000</v>
      </c>
      <c r="G358" s="102">
        <f>(B358/'Population Figures'!$AK11)*1000</f>
        <v>232.59420065126378</v>
      </c>
      <c r="H358" s="93">
        <f>(C358/'Population Figures'!$AK11)*1000</f>
        <v>232.59420065126378</v>
      </c>
      <c r="I358" s="93">
        <f>(D358/'Population Figures'!$AK11)*1000</f>
        <v>135.67995037990386</v>
      </c>
      <c r="J358" s="93">
        <f>(E358/'Population Figures'!$AK11)*1000</f>
        <v>19.38285005427198</v>
      </c>
      <c r="K358" s="93">
        <f>(F358/'Population Figures'!$AK11)*1000</f>
        <v>620.25120173670336</v>
      </c>
      <c r="L358" s="129"/>
      <c r="O358" s="91" t="s">
        <v>140</v>
      </c>
      <c r="P358" s="541">
        <v>178.83997886436615</v>
      </c>
      <c r="Q358" s="542">
        <v>751.9408202251758</v>
      </c>
      <c r="R358" s="542">
        <v>44.709994716091536</v>
      </c>
      <c r="S358" s="543">
        <v>10.838786597840372</v>
      </c>
      <c r="T358" s="540">
        <v>986.32958040347387</v>
      </c>
      <c r="U358" s="600"/>
      <c r="V358" s="90" t="e">
        <f>IF($O358=Cover!$C$5,0,IF($O358="Scotland",0,NA()))</f>
        <v>#N/A</v>
      </c>
      <c r="W358" s="90">
        <f>IF($O358=Cover!$C$5,NA(),IF($O358="Scotland",NA(),0))</f>
        <v>0</v>
      </c>
    </row>
    <row r="359" spans="1:23">
      <c r="A359" s="91" t="s">
        <v>38</v>
      </c>
      <c r="B359" s="538">
        <v>6400</v>
      </c>
      <c r="C359" s="538">
        <v>10500</v>
      </c>
      <c r="D359" s="538">
        <v>1000</v>
      </c>
      <c r="E359" s="539">
        <v>0</v>
      </c>
      <c r="F359" s="540">
        <v>17900</v>
      </c>
      <c r="G359" s="102">
        <f>(B359/'Population Figures'!$AK12)*1000</f>
        <v>275.80262874380526</v>
      </c>
      <c r="H359" s="93">
        <f>(C359/'Population Figures'!$AK12)*1000</f>
        <v>452.48868778280541</v>
      </c>
      <c r="I359" s="93">
        <f>(D359/'Population Figures'!$AK12)*1000</f>
        <v>43.094160741219561</v>
      </c>
      <c r="J359" s="93">
        <f>(E359/'Population Figures'!$AK12)*1000</f>
        <v>0</v>
      </c>
      <c r="K359" s="93">
        <f>(F359/'Population Figures'!$AK12)*1000</f>
        <v>771.3854772678302</v>
      </c>
      <c r="L359" s="129"/>
      <c r="O359" s="91" t="s">
        <v>50</v>
      </c>
      <c r="P359" s="541">
        <v>203.58020358020357</v>
      </c>
      <c r="Q359" s="542">
        <v>628.29062829062832</v>
      </c>
      <c r="R359" s="542">
        <v>70.200070200070201</v>
      </c>
      <c r="S359" s="543">
        <v>0</v>
      </c>
      <c r="T359" s="540">
        <v>902.07090207090209</v>
      </c>
      <c r="U359" s="600"/>
      <c r="V359" s="90" t="e">
        <f>IF($O359=Cover!$C$5,0,IF($O359="Scotland",0,NA()))</f>
        <v>#N/A</v>
      </c>
      <c r="W359" s="90">
        <f>IF($O359=Cover!$C$5,NA(),IF($O359="Scotland",NA(),0))</f>
        <v>0</v>
      </c>
    </row>
    <row r="360" spans="1:23">
      <c r="A360" s="91" t="s">
        <v>39</v>
      </c>
      <c r="B360" s="538">
        <v>300</v>
      </c>
      <c r="C360" s="538">
        <v>10200</v>
      </c>
      <c r="D360" s="538">
        <v>11900</v>
      </c>
      <c r="E360" s="539">
        <v>200</v>
      </c>
      <c r="F360" s="540">
        <v>25400</v>
      </c>
      <c r="G360" s="102">
        <f>(B360/'Population Figures'!$AK13)*1000</f>
        <v>13.260254596888259</v>
      </c>
      <c r="H360" s="93">
        <f>(C360/'Population Figures'!$AK13)*1000</f>
        <v>450.84865629420085</v>
      </c>
      <c r="I360" s="93">
        <f>(D360/'Population Figures'!$AK13)*1000</f>
        <v>525.99009900990097</v>
      </c>
      <c r="J360" s="93">
        <f>(E360/'Population Figures'!$AK13)*1000</f>
        <v>8.8401697312588396</v>
      </c>
      <c r="K360" s="93">
        <f>(F360/'Population Figures'!$AK13)*1000</f>
        <v>1122.7015558698727</v>
      </c>
      <c r="L360" s="129"/>
      <c r="O360" s="91" t="s">
        <v>45</v>
      </c>
      <c r="P360" s="541">
        <v>648.84536650186158</v>
      </c>
      <c r="Q360" s="542">
        <v>209.49804268971545</v>
      </c>
      <c r="R360" s="542">
        <v>38.308213520405111</v>
      </c>
      <c r="S360" s="543">
        <v>0</v>
      </c>
      <c r="T360" s="540">
        <v>896.6516227119821</v>
      </c>
      <c r="U360" s="600"/>
      <c r="V360" s="90" t="e">
        <f>IF($O360=Cover!$C$5,0,IF($O360="Scotland",0,NA()))</f>
        <v>#N/A</v>
      </c>
      <c r="W360" s="90">
        <f>IF($O360=Cover!$C$5,NA(),IF($O360="Scotland",NA(),0))</f>
        <v>0</v>
      </c>
    </row>
    <row r="361" spans="1:23">
      <c r="A361" s="91" t="s">
        <v>40</v>
      </c>
      <c r="B361" s="538">
        <v>1300</v>
      </c>
      <c r="C361" s="538">
        <v>19300</v>
      </c>
      <c r="D361" s="538">
        <v>600</v>
      </c>
      <c r="E361" s="539">
        <v>500</v>
      </c>
      <c r="F361" s="540">
        <v>21500</v>
      </c>
      <c r="G361" s="102">
        <f>(B361/'Population Figures'!$AK14)*1000</f>
        <v>66.680344686089455</v>
      </c>
      <c r="H361" s="93">
        <f>(C361/'Population Figures'!$AK14)*1000</f>
        <v>989.94665572425106</v>
      </c>
      <c r="I361" s="93">
        <f>(D361/'Population Figures'!$AK14)*1000</f>
        <v>30.775543701272056</v>
      </c>
      <c r="J361" s="93">
        <f>(E361/'Population Figures'!$AK14)*1000</f>
        <v>25.64628641772671</v>
      </c>
      <c r="K361" s="93">
        <f>(F361/'Population Figures'!$AK14)*1000</f>
        <v>1102.7903159622488</v>
      </c>
      <c r="L361" s="129"/>
      <c r="O361" s="91" t="s">
        <v>35</v>
      </c>
      <c r="P361" s="541">
        <v>64.315575088433917</v>
      </c>
      <c r="Q361" s="542">
        <v>750.348376031729</v>
      </c>
      <c r="R361" s="542">
        <v>0</v>
      </c>
      <c r="S361" s="543">
        <v>10.719262514738986</v>
      </c>
      <c r="T361" s="540">
        <v>814.66395112016301</v>
      </c>
      <c r="U361" s="600"/>
      <c r="V361" s="90" t="e">
        <f>IF($O361=Cover!$C$5,0,IF($O361="Scotland",0,NA()))</f>
        <v>#N/A</v>
      </c>
      <c r="W361" s="90">
        <f>IF($O361=Cover!$C$5,NA(),IF($O361="Scotland",NA(),0))</f>
        <v>0</v>
      </c>
    </row>
    <row r="362" spans="1:23">
      <c r="A362" s="91" t="s">
        <v>41</v>
      </c>
      <c r="B362" s="538">
        <v>3500</v>
      </c>
      <c r="C362" s="538">
        <v>1600</v>
      </c>
      <c r="D362" s="538">
        <v>1000</v>
      </c>
      <c r="E362" s="539">
        <v>0</v>
      </c>
      <c r="F362" s="540">
        <v>6100</v>
      </c>
      <c r="G362" s="102">
        <f>(B362/'Population Figures'!$AK15)*1000</f>
        <v>197.86307874950535</v>
      </c>
      <c r="H362" s="93">
        <f>(C362/'Population Figures'!$AK15)*1000</f>
        <v>90.451693142631015</v>
      </c>
      <c r="I362" s="93">
        <f>(D362/'Population Figures'!$AK15)*1000</f>
        <v>56.532308214144386</v>
      </c>
      <c r="J362" s="93">
        <f>(E362/'Population Figures'!$AK15)*1000</f>
        <v>0</v>
      </c>
      <c r="K362" s="93">
        <f>(F362/'Population Figures'!$AK15)*1000</f>
        <v>344.84708010628071</v>
      </c>
      <c r="L362" s="129"/>
      <c r="O362" s="91" t="s">
        <v>43</v>
      </c>
      <c r="P362" s="541">
        <v>196.70254998032974</v>
      </c>
      <c r="Q362" s="542">
        <v>493.54457995064553</v>
      </c>
      <c r="R362" s="542">
        <v>57.222559994277745</v>
      </c>
      <c r="S362" s="543">
        <v>28.611279997138872</v>
      </c>
      <c r="T362" s="540">
        <v>776.080969922392</v>
      </c>
      <c r="U362" s="600"/>
      <c r="V362" s="90" t="e">
        <f>IF($O362=Cover!$C$5,0,IF($O362="Scotland",0,NA()))</f>
        <v>#N/A</v>
      </c>
      <c r="W362" s="90">
        <f>IF($O362=Cover!$C$5,NA(),IF($O362="Scotland",NA(),0))</f>
        <v>0</v>
      </c>
    </row>
    <row r="363" spans="1:23">
      <c r="A363" s="91" t="s">
        <v>140</v>
      </c>
      <c r="B363" s="538">
        <v>13200</v>
      </c>
      <c r="C363" s="538">
        <v>55500</v>
      </c>
      <c r="D363" s="538">
        <v>3300</v>
      </c>
      <c r="E363" s="539">
        <v>800</v>
      </c>
      <c r="F363" s="540">
        <v>72800</v>
      </c>
      <c r="G363" s="102">
        <f>(B363/'Population Figures'!$AK16)*1000</f>
        <v>178.83997886436615</v>
      </c>
      <c r="H363" s="93">
        <f>(C363/'Population Figures'!$AK16)*1000</f>
        <v>751.9408202251758</v>
      </c>
      <c r="I363" s="93">
        <f>(D363/'Population Figures'!$AK16)*1000</f>
        <v>44.709994716091536</v>
      </c>
      <c r="J363" s="93">
        <f>(E363/'Population Figures'!$AK16)*1000</f>
        <v>10.838786597840372</v>
      </c>
      <c r="K363" s="93">
        <f>(F363/'Population Figures'!$AK16)*1000</f>
        <v>986.32958040347387</v>
      </c>
      <c r="L363" s="129"/>
      <c r="O363" s="91" t="s">
        <v>38</v>
      </c>
      <c r="P363" s="541">
        <v>275.80262874380526</v>
      </c>
      <c r="Q363" s="542">
        <v>452.48868778280541</v>
      </c>
      <c r="R363" s="542">
        <v>43.094160741219561</v>
      </c>
      <c r="S363" s="543">
        <v>0</v>
      </c>
      <c r="T363" s="540">
        <v>771.3854772678302</v>
      </c>
      <c r="U363" s="600"/>
      <c r="V363" s="90" t="e">
        <f>IF($O363=Cover!$C$5,0,IF($O363="Scotland",0,NA()))</f>
        <v>#N/A</v>
      </c>
      <c r="W363" s="90">
        <f>IF($O363=Cover!$C$5,NA(),IF($O363="Scotland",NA(),0))</f>
        <v>0</v>
      </c>
    </row>
    <row r="364" spans="1:23">
      <c r="A364" s="91" t="s">
        <v>42</v>
      </c>
      <c r="B364" s="538">
        <v>4500</v>
      </c>
      <c r="C364" s="538">
        <v>0</v>
      </c>
      <c r="D364" s="538">
        <v>0</v>
      </c>
      <c r="E364" s="539">
        <v>0</v>
      </c>
      <c r="F364" s="540">
        <v>4500</v>
      </c>
      <c r="G364" s="102">
        <f>(B364/'Population Figures'!$AK17)*1000</f>
        <v>698.10735339745577</v>
      </c>
      <c r="H364" s="93">
        <f>(C364/'Population Figures'!$AK17)*1000</f>
        <v>0</v>
      </c>
      <c r="I364" s="93">
        <f>(D364/'Population Figures'!$AK17)*1000</f>
        <v>0</v>
      </c>
      <c r="J364" s="93">
        <f>(E364/'Population Figures'!$AK17)*1000</f>
        <v>0</v>
      </c>
      <c r="K364" s="93">
        <f>(F364/'Population Figures'!$AK17)*1000</f>
        <v>698.10735339745577</v>
      </c>
      <c r="L364" s="129"/>
      <c r="O364" s="91" t="s">
        <v>44</v>
      </c>
      <c r="P364" s="541">
        <v>220.93072344257911</v>
      </c>
      <c r="Q364" s="542">
        <v>453.11906336630875</v>
      </c>
      <c r="R364" s="542">
        <v>70.360103007190801</v>
      </c>
      <c r="S364" s="543">
        <v>18.293626781869609</v>
      </c>
      <c r="T364" s="540">
        <v>762.70351659794835</v>
      </c>
      <c r="U364" s="600"/>
      <c r="V364" s="90" t="e">
        <f>IF($O364=Cover!$C$5,0,IF($O364="Scotland",0,NA()))</f>
        <v>#N/A</v>
      </c>
      <c r="W364" s="90">
        <f>IF($O364=Cover!$C$5,NA(),IF($O364="Scotland",NA(),0))</f>
        <v>0</v>
      </c>
    </row>
    <row r="365" spans="1:23">
      <c r="A365" s="91" t="s">
        <v>43</v>
      </c>
      <c r="B365" s="538">
        <v>5500</v>
      </c>
      <c r="C365" s="538">
        <v>13800</v>
      </c>
      <c r="D365" s="538">
        <v>1600</v>
      </c>
      <c r="E365" s="539">
        <v>800</v>
      </c>
      <c r="F365" s="540">
        <v>21700</v>
      </c>
      <c r="G365" s="102">
        <f>(B365/'Population Figures'!$AK18)*1000</f>
        <v>196.70254998032974</v>
      </c>
      <c r="H365" s="93">
        <f>(C365/'Population Figures'!$AK18)*1000</f>
        <v>493.54457995064553</v>
      </c>
      <c r="I365" s="93">
        <f>(D365/'Population Figures'!$AK18)*1000</f>
        <v>57.222559994277745</v>
      </c>
      <c r="J365" s="93">
        <f>(E365/'Population Figures'!$AK18)*1000</f>
        <v>28.611279997138872</v>
      </c>
      <c r="K365" s="93">
        <f>(F365/'Population Figures'!$AK18)*1000</f>
        <v>776.080969922392</v>
      </c>
      <c r="L365" s="129"/>
      <c r="O365" s="91" t="s">
        <v>58</v>
      </c>
      <c r="P365" s="541">
        <v>310.72073323149561</v>
      </c>
      <c r="Q365" s="542">
        <v>345.4381335925566</v>
      </c>
      <c r="R365" s="542">
        <v>53.811970559644493</v>
      </c>
      <c r="S365" s="543">
        <v>29.509790306901817</v>
      </c>
      <c r="T365" s="540">
        <v>739.48062769059857</v>
      </c>
      <c r="U365" s="600"/>
      <c r="V365" s="90" t="e">
        <f>IF($O365=Cover!$C$5,0,IF($O365="Scotland",0,NA()))</f>
        <v>#N/A</v>
      </c>
      <c r="W365" s="90">
        <f>IF($O365=Cover!$C$5,NA(),IF($O365="Scotland",NA(),0))</f>
        <v>0</v>
      </c>
    </row>
    <row r="366" spans="1:23">
      <c r="A366" s="91" t="s">
        <v>44</v>
      </c>
      <c r="B366" s="538">
        <v>15700</v>
      </c>
      <c r="C366" s="538">
        <v>32200</v>
      </c>
      <c r="D366" s="538">
        <v>5000</v>
      </c>
      <c r="E366" s="539">
        <v>1300</v>
      </c>
      <c r="F366" s="540">
        <v>54200</v>
      </c>
      <c r="G366" s="102">
        <f>(B366/'Population Figures'!$AK19)*1000</f>
        <v>220.93072344257911</v>
      </c>
      <c r="H366" s="93">
        <f>(C366/'Population Figures'!$AK19)*1000</f>
        <v>453.11906336630875</v>
      </c>
      <c r="I366" s="93">
        <f>(D366/'Population Figures'!$AK19)*1000</f>
        <v>70.360103007190801</v>
      </c>
      <c r="J366" s="93">
        <f>(E366/'Population Figures'!$AK19)*1000</f>
        <v>18.293626781869609</v>
      </c>
      <c r="K366" s="93">
        <f>(F366/'Population Figures'!$AK19)*1000</f>
        <v>762.70351659794835</v>
      </c>
      <c r="L366" s="129"/>
      <c r="O366" s="91" t="s">
        <v>5</v>
      </c>
      <c r="P366" s="541">
        <v>239.0568253047071</v>
      </c>
      <c r="Q366" s="542">
        <v>405.51885657519858</v>
      </c>
      <c r="R366" s="542">
        <v>74.453551207211163</v>
      </c>
      <c r="S366" s="543">
        <v>10.016635876698311</v>
      </c>
      <c r="T366" s="540">
        <v>729.04586896381522</v>
      </c>
      <c r="U366" s="600"/>
      <c r="V366" s="90">
        <f>IF($O366=Cover!$C$5,0,IF($O366="Scotland",0,NA()))</f>
        <v>0</v>
      </c>
      <c r="W366" s="90" t="e">
        <f>IF($O366=Cover!$C$5,NA(),IF($O366="Scotland",NA(),0))</f>
        <v>#N/A</v>
      </c>
    </row>
    <row r="367" spans="1:23">
      <c r="A367" s="91" t="s">
        <v>45</v>
      </c>
      <c r="B367" s="538">
        <v>54200</v>
      </c>
      <c r="C367" s="538">
        <v>17500</v>
      </c>
      <c r="D367" s="538">
        <v>3200</v>
      </c>
      <c r="E367" s="539">
        <v>0</v>
      </c>
      <c r="F367" s="540">
        <v>74900</v>
      </c>
      <c r="G367" s="102">
        <f>(B367/'Population Figures'!$AK20)*1000</f>
        <v>648.84536650186158</v>
      </c>
      <c r="H367" s="93">
        <f>(C367/'Population Figures'!$AK20)*1000</f>
        <v>209.49804268971545</v>
      </c>
      <c r="I367" s="93">
        <f>(D367/'Population Figures'!$AK20)*1000</f>
        <v>38.308213520405111</v>
      </c>
      <c r="J367" s="93">
        <f>(E367/'Population Figures'!$AK20)*1000</f>
        <v>0</v>
      </c>
      <c r="K367" s="93">
        <f>(F367/'Population Figures'!$AK20)*1000</f>
        <v>896.6516227119821</v>
      </c>
      <c r="L367" s="129"/>
      <c r="O367" s="91" t="s">
        <v>42</v>
      </c>
      <c r="P367" s="541">
        <v>698.10735339745577</v>
      </c>
      <c r="Q367" s="542">
        <v>0</v>
      </c>
      <c r="R367" s="542">
        <v>0</v>
      </c>
      <c r="S367" s="543">
        <v>0</v>
      </c>
      <c r="T367" s="540">
        <v>698.10735339745577</v>
      </c>
      <c r="U367" s="600"/>
      <c r="V367" s="90" t="e">
        <f>IF($O367=Cover!$C$5,0,IF($O367="Scotland",0,NA()))</f>
        <v>#N/A</v>
      </c>
      <c r="W367" s="90">
        <f>IF($O367=Cover!$C$5,NA(),IF($O367="Scotland",NA(),0))</f>
        <v>0</v>
      </c>
    </row>
    <row r="368" spans="1:23">
      <c r="A368" s="91" t="s">
        <v>46</v>
      </c>
      <c r="B368" s="538">
        <v>6100</v>
      </c>
      <c r="C368" s="538">
        <v>6100</v>
      </c>
      <c r="D368" s="538">
        <v>1700</v>
      </c>
      <c r="E368" s="539">
        <v>0</v>
      </c>
      <c r="F368" s="540">
        <v>13900</v>
      </c>
      <c r="G368" s="102">
        <f>(B368/'Population Figures'!$AK21)*1000</f>
        <v>127.04363219827137</v>
      </c>
      <c r="H368" s="93">
        <f>(C368/'Population Figures'!$AK21)*1000</f>
        <v>127.04363219827137</v>
      </c>
      <c r="I368" s="93">
        <f>(D368/'Population Figures'!$AK21)*1000</f>
        <v>35.405602415911694</v>
      </c>
      <c r="J368" s="93">
        <f>(E368/'Population Figures'!$AK21)*1000</f>
        <v>0</v>
      </c>
      <c r="K368" s="93">
        <f>(F368/'Population Figures'!$AK21)*1000</f>
        <v>289.49286681245445</v>
      </c>
      <c r="L368" s="129"/>
      <c r="O368" s="91" t="s">
        <v>57</v>
      </c>
      <c r="P368" s="541">
        <v>151.65301789505611</v>
      </c>
      <c r="Q368" s="542">
        <v>545.95086442220202</v>
      </c>
      <c r="R368" s="542">
        <v>0</v>
      </c>
      <c r="S368" s="543">
        <v>0</v>
      </c>
      <c r="T368" s="540">
        <v>697.60388231725813</v>
      </c>
      <c r="U368" s="600"/>
      <c r="V368" s="90" t="e">
        <f>IF($O368=Cover!$C$5,0,IF($O368="Scotland",0,NA()))</f>
        <v>#N/A</v>
      </c>
      <c r="W368" s="90">
        <f>IF($O368=Cover!$C$5,NA(),IF($O368="Scotland",NA(),0))</f>
        <v>0</v>
      </c>
    </row>
    <row r="369" spans="1:23">
      <c r="A369" s="91" t="s">
        <v>47</v>
      </c>
      <c r="B369" s="538">
        <v>4600</v>
      </c>
      <c r="C369" s="538">
        <v>1700</v>
      </c>
      <c r="D369" s="538">
        <v>10300</v>
      </c>
      <c r="E369" s="539">
        <v>0</v>
      </c>
      <c r="F369" s="540">
        <v>16700</v>
      </c>
      <c r="G369" s="102">
        <f>(B369/'Population Figures'!$AK22)*1000</f>
        <v>293.16168504238101</v>
      </c>
      <c r="H369" s="93">
        <f>(C369/'Population Figures'!$AK22)*1000</f>
        <v>108.34236186348862</v>
      </c>
      <c r="I369" s="93">
        <f>(D369/'Population Figures'!$AK22)*1000</f>
        <v>656.42725129054872</v>
      </c>
      <c r="J369" s="93">
        <f>(E369/'Population Figures'!$AK22)*1000</f>
        <v>0</v>
      </c>
      <c r="K369" s="93">
        <f>(F369/'Population Figures'!$AK22)*1000</f>
        <v>1064.3043783060352</v>
      </c>
      <c r="L369" s="129"/>
      <c r="O369" s="91" t="s">
        <v>61</v>
      </c>
      <c r="P369" s="541">
        <v>110.57869517139697</v>
      </c>
      <c r="Q369" s="542">
        <v>571.32325838555107</v>
      </c>
      <c r="R369" s="542">
        <v>14.743826022852931</v>
      </c>
      <c r="S369" s="543">
        <v>0</v>
      </c>
      <c r="T369" s="540">
        <v>692.95982307408781</v>
      </c>
      <c r="U369" s="601"/>
      <c r="V369" s="90" t="e">
        <f>IF($O369=Cover!$C$5,0,IF($O369="Scotland",0,NA()))</f>
        <v>#N/A</v>
      </c>
      <c r="W369" s="90">
        <f>IF($O369=Cover!$C$5,NA(),IF($O369="Scotland",NA(),0))</f>
        <v>0</v>
      </c>
    </row>
    <row r="370" spans="1:23">
      <c r="A370" s="91" t="s">
        <v>48</v>
      </c>
      <c r="B370" s="538">
        <v>0</v>
      </c>
      <c r="C370" s="538">
        <v>10100</v>
      </c>
      <c r="D370" s="538">
        <v>100</v>
      </c>
      <c r="E370" s="539">
        <v>0</v>
      </c>
      <c r="F370" s="540">
        <v>10200</v>
      </c>
      <c r="G370" s="102">
        <f>(B370/'Population Figures'!$AK23)*1000</f>
        <v>0</v>
      </c>
      <c r="H370" s="93">
        <f>(C370/'Population Figures'!$AK23)*1000</f>
        <v>646.89681675526799</v>
      </c>
      <c r="I370" s="93">
        <f>(D370/'Population Figures'!$AK23)*1000</f>
        <v>6.4049189777749316</v>
      </c>
      <c r="J370" s="93">
        <f>(E370/'Population Figures'!$AK23)*1000</f>
        <v>0</v>
      </c>
      <c r="K370" s="93">
        <f>(F370/'Population Figures'!$AK23)*1000</f>
        <v>653.30173573304296</v>
      </c>
      <c r="L370" s="129"/>
      <c r="O370" s="91" t="s">
        <v>33</v>
      </c>
      <c r="P370" s="541">
        <v>315.99890765809698</v>
      </c>
      <c r="Q370" s="542">
        <v>148.24640112355166</v>
      </c>
      <c r="R370" s="542">
        <v>198.96227519213514</v>
      </c>
      <c r="S370" s="543">
        <v>11.703663246596184</v>
      </c>
      <c r="T370" s="540">
        <v>674.91124722038001</v>
      </c>
      <c r="U370" s="600"/>
      <c r="V370" s="90" t="e">
        <f>IF($O370=Cover!$C$5,0,IF($O370="Scotland",0,NA()))</f>
        <v>#N/A</v>
      </c>
      <c r="W370" s="90">
        <f>IF($O370=Cover!$C$5,NA(),IF($O370="Scotland",NA(),0))</f>
        <v>0</v>
      </c>
    </row>
    <row r="371" spans="1:23">
      <c r="A371" s="91" t="s">
        <v>49</v>
      </c>
      <c r="B371" s="538">
        <v>4900</v>
      </c>
      <c r="C371" s="538">
        <v>6200</v>
      </c>
      <c r="D371" s="538">
        <v>1100</v>
      </c>
      <c r="E371" s="539">
        <v>100</v>
      </c>
      <c r="F371" s="540">
        <v>12200</v>
      </c>
      <c r="G371" s="102">
        <f>(B371/'Population Figures'!$AK24)*1000</f>
        <v>257.89473684210526</v>
      </c>
      <c r="H371" s="93">
        <f>(C371/'Population Figures'!$AK24)*1000</f>
        <v>326.31578947368422</v>
      </c>
      <c r="I371" s="93">
        <f>(D371/'Population Figures'!$AK24)*1000</f>
        <v>57.89473684210526</v>
      </c>
      <c r="J371" s="93">
        <f>(E371/'Population Figures'!$AK24)*1000</f>
        <v>5.2631578947368416</v>
      </c>
      <c r="K371" s="93">
        <f>(F371/'Population Figures'!$AK24)*1000</f>
        <v>642.10526315789468</v>
      </c>
      <c r="L371" s="129"/>
      <c r="O371" s="91" t="s">
        <v>60</v>
      </c>
      <c r="P371" s="541">
        <v>609.87230798551548</v>
      </c>
      <c r="Q371" s="542">
        <v>25.411346166063147</v>
      </c>
      <c r="R371" s="542">
        <v>31.764182707578936</v>
      </c>
      <c r="S371" s="543">
        <v>0</v>
      </c>
      <c r="T371" s="540">
        <v>667.04783685915754</v>
      </c>
      <c r="U371" s="600"/>
      <c r="V371" s="90" t="e">
        <f>IF($O371=Cover!$C$5,0,IF($O371="Scotland",0,NA()))</f>
        <v>#N/A</v>
      </c>
      <c r="W371" s="90">
        <f>IF($O371=Cover!$C$5,NA(),IF($O371="Scotland",NA(),0))</f>
        <v>0</v>
      </c>
    </row>
    <row r="372" spans="1:23">
      <c r="A372" s="91" t="s">
        <v>50</v>
      </c>
      <c r="B372" s="538">
        <v>5800</v>
      </c>
      <c r="C372" s="538">
        <v>17900</v>
      </c>
      <c r="D372" s="538">
        <v>2000</v>
      </c>
      <c r="E372" s="539">
        <v>0</v>
      </c>
      <c r="F372" s="540">
        <v>25700</v>
      </c>
      <c r="G372" s="102">
        <f>(B372/'Population Figures'!$AK25)*1000</f>
        <v>203.58020358020357</v>
      </c>
      <c r="H372" s="93">
        <f>(C372/'Population Figures'!$AK25)*1000</f>
        <v>628.29062829062832</v>
      </c>
      <c r="I372" s="93">
        <f>(D372/'Population Figures'!$AK25)*1000</f>
        <v>70.200070200070201</v>
      </c>
      <c r="J372" s="93">
        <f>(E372/'Population Figures'!$AK25)*1000</f>
        <v>0</v>
      </c>
      <c r="K372" s="93">
        <f>(F372/'Population Figures'!$AK25)*1000</f>
        <v>902.07090207090209</v>
      </c>
      <c r="L372" s="129"/>
      <c r="O372" s="91" t="s">
        <v>48</v>
      </c>
      <c r="P372" s="541">
        <v>0</v>
      </c>
      <c r="Q372" s="542">
        <v>646.89681675526799</v>
      </c>
      <c r="R372" s="542">
        <v>6.4049189777749316</v>
      </c>
      <c r="S372" s="543">
        <v>0</v>
      </c>
      <c r="T372" s="540">
        <v>653.30173573304296</v>
      </c>
      <c r="U372" s="600"/>
      <c r="V372" s="90" t="e">
        <f>IF($O372=Cover!$C$5,0,IF($O372="Scotland",0,NA()))</f>
        <v>#N/A</v>
      </c>
      <c r="W372" s="90">
        <f>IF($O372=Cover!$C$5,NA(),IF($O372="Scotland",NA(),0))</f>
        <v>0</v>
      </c>
    </row>
    <row r="373" spans="1:23">
      <c r="A373" s="91" t="s">
        <v>51</v>
      </c>
      <c r="B373" s="538">
        <v>21400</v>
      </c>
      <c r="C373" s="538">
        <v>3300</v>
      </c>
      <c r="D373" s="538">
        <v>7300</v>
      </c>
      <c r="E373" s="539">
        <v>0</v>
      </c>
      <c r="F373" s="540">
        <v>32000</v>
      </c>
      <c r="G373" s="102">
        <f>(B373/'Population Figures'!$AK26)*1000</f>
        <v>390.56796612644177</v>
      </c>
      <c r="H373" s="93">
        <f>(C373/'Population Figures'!$AK26)*1000</f>
        <v>60.227770477441958</v>
      </c>
      <c r="I373" s="93">
        <f>(D373/'Population Figures'!$AK26)*1000</f>
        <v>133.23112863191707</v>
      </c>
      <c r="J373" s="93">
        <f>(E373/'Population Figures'!$AK26)*1000</f>
        <v>0</v>
      </c>
      <c r="K373" s="93">
        <f>(F373/'Population Figures'!$AK26)*1000</f>
        <v>584.02686523580087</v>
      </c>
      <c r="L373" s="129"/>
      <c r="O373" s="91" t="s">
        <v>49</v>
      </c>
      <c r="P373" s="541">
        <v>257.89473684210526</v>
      </c>
      <c r="Q373" s="542">
        <v>326.31578947368422</v>
      </c>
      <c r="R373" s="542">
        <v>57.89473684210526</v>
      </c>
      <c r="S373" s="543">
        <v>5.2631578947368416</v>
      </c>
      <c r="T373" s="540">
        <v>642.10526315789468</v>
      </c>
      <c r="U373" s="600"/>
      <c r="V373" s="90" t="e">
        <f>IF($O373=Cover!$C$5,0,IF($O373="Scotland",0,NA()))</f>
        <v>#N/A</v>
      </c>
      <c r="W373" s="90">
        <f>IF($O373=Cover!$C$5,NA(),IF($O373="Scotland",NA(),0))</f>
        <v>0</v>
      </c>
    </row>
    <row r="374" spans="1:23">
      <c r="A374" s="91" t="s">
        <v>52</v>
      </c>
      <c r="B374" s="538">
        <v>2500</v>
      </c>
      <c r="C374" s="538">
        <v>0</v>
      </c>
      <c r="D374" s="538">
        <v>0</v>
      </c>
      <c r="E374" s="539">
        <v>0</v>
      </c>
      <c r="F374" s="540">
        <v>2500</v>
      </c>
      <c r="G374" s="102">
        <f>(B374/'Population Figures'!$AK27)*1000</f>
        <v>529.99788000847991</v>
      </c>
      <c r="H374" s="93">
        <f>(C374/'Population Figures'!$AK27)*1000</f>
        <v>0</v>
      </c>
      <c r="I374" s="93">
        <f>(D374/'Population Figures'!$AK27)*1000</f>
        <v>0</v>
      </c>
      <c r="J374" s="93">
        <f>(E374/'Population Figures'!$AK27)*1000</f>
        <v>0</v>
      </c>
      <c r="K374" s="93">
        <f>(F374/'Population Figures'!$AK27)*1000</f>
        <v>529.99788000847991</v>
      </c>
      <c r="L374" s="129"/>
      <c r="O374" s="91" t="s">
        <v>37</v>
      </c>
      <c r="P374" s="541">
        <v>232.59420065126378</v>
      </c>
      <c r="Q374" s="542">
        <v>232.59420065126378</v>
      </c>
      <c r="R374" s="542">
        <v>135.67995037990386</v>
      </c>
      <c r="S374" s="543">
        <v>19.38285005427198</v>
      </c>
      <c r="T374" s="540">
        <v>620.25120173670336</v>
      </c>
      <c r="U374" s="600"/>
      <c r="V374" s="90" t="e">
        <f>IF($O374=Cover!$C$5,0,IF($O374="Scotland",0,NA()))</f>
        <v>#N/A</v>
      </c>
      <c r="W374" s="90">
        <f>IF($O374=Cover!$C$5,NA(),IF($O374="Scotland",NA(),0))</f>
        <v>0</v>
      </c>
    </row>
    <row r="375" spans="1:23">
      <c r="A375" s="91" t="s">
        <v>53</v>
      </c>
      <c r="B375" s="538">
        <v>1300</v>
      </c>
      <c r="C375" s="538">
        <v>9200</v>
      </c>
      <c r="D375" s="538">
        <v>100</v>
      </c>
      <c r="E375" s="539">
        <v>0</v>
      </c>
      <c r="F375" s="540">
        <v>10600</v>
      </c>
      <c r="G375" s="102">
        <f>(B375/'Population Figures'!$AK28)*1000</f>
        <v>39.98031738221183</v>
      </c>
      <c r="H375" s="93">
        <f>(C375/'Population Figures'!$AK28)*1000</f>
        <v>282.93763070488376</v>
      </c>
      <c r="I375" s="93">
        <f>(D375/'Population Figures'!$AK28)*1000</f>
        <v>3.0754090294009102</v>
      </c>
      <c r="J375" s="93">
        <f>(E375/'Population Figures'!$AK28)*1000</f>
        <v>0</v>
      </c>
      <c r="K375" s="93">
        <f>(F375/'Population Figures'!$AK28)*1000</f>
        <v>325.9933571164965</v>
      </c>
      <c r="L375" s="129"/>
      <c r="O375" s="91" t="s">
        <v>56</v>
      </c>
      <c r="P375" s="541">
        <v>543.47826086956513</v>
      </c>
      <c r="Q375" s="542">
        <v>0</v>
      </c>
      <c r="R375" s="542">
        <v>47.258979206049148</v>
      </c>
      <c r="S375" s="543">
        <v>0</v>
      </c>
      <c r="T375" s="540">
        <v>614.36672967863888</v>
      </c>
      <c r="U375" s="600"/>
      <c r="V375" s="90" t="e">
        <f>IF($O375=Cover!$C$5,0,IF($O375="Scotland",0,NA()))</f>
        <v>#N/A</v>
      </c>
      <c r="W375" s="90">
        <f>IF($O375=Cover!$C$5,NA(),IF($O375="Scotland",NA(),0))</f>
        <v>0</v>
      </c>
    </row>
    <row r="376" spans="1:23">
      <c r="A376" s="91" t="s">
        <v>54</v>
      </c>
      <c r="B376" s="538">
        <v>7000</v>
      </c>
      <c r="C376" s="538">
        <v>25700</v>
      </c>
      <c r="D376" s="538">
        <v>1300</v>
      </c>
      <c r="E376" s="539">
        <v>600</v>
      </c>
      <c r="F376" s="540">
        <v>34600</v>
      </c>
      <c r="G376" s="102">
        <f>(B376/'Population Figures'!$AK29)*1000</f>
        <v>220.46549714969606</v>
      </c>
      <c r="H376" s="93">
        <f>(C376/'Population Figures'!$AK29)*1000</f>
        <v>809.42332524959852</v>
      </c>
      <c r="I376" s="93">
        <f>(D376/'Population Figures'!$AK29)*1000</f>
        <v>40.943592327800694</v>
      </c>
      <c r="J376" s="93">
        <f>(E376/'Population Figures'!$AK29)*1000</f>
        <v>18.89704261283109</v>
      </c>
      <c r="K376" s="93">
        <f>(F376/'Population Figures'!$AK29)*1000</f>
        <v>1089.7294573399263</v>
      </c>
      <c r="L376" s="129"/>
      <c r="O376" s="91" t="s">
        <v>51</v>
      </c>
      <c r="P376" s="541">
        <v>390.56796612644177</v>
      </c>
      <c r="Q376" s="542">
        <v>60.227770477441958</v>
      </c>
      <c r="R376" s="542">
        <v>133.23112863191707</v>
      </c>
      <c r="S376" s="543">
        <v>0</v>
      </c>
      <c r="T376" s="540">
        <v>584.02686523580087</v>
      </c>
      <c r="U376" s="600"/>
      <c r="V376" s="90" t="e">
        <f>IF($O376=Cover!$C$5,0,IF($O376="Scotland",0,NA()))</f>
        <v>#N/A</v>
      </c>
      <c r="W376" s="90">
        <f>IF($O376=Cover!$C$5,NA(),IF($O376="Scotland",NA(),0))</f>
        <v>0</v>
      </c>
    </row>
    <row r="377" spans="1:23">
      <c r="A377" s="91" t="s">
        <v>55</v>
      </c>
      <c r="B377" s="538">
        <v>4300</v>
      </c>
      <c r="C377" s="538">
        <v>3600</v>
      </c>
      <c r="D377" s="538">
        <v>500</v>
      </c>
      <c r="E377" s="539">
        <v>0</v>
      </c>
      <c r="F377" s="540">
        <v>8400</v>
      </c>
      <c r="G377" s="102">
        <f>(B377/'Population Figures'!$AK30)*1000</f>
        <v>163.30560935779121</v>
      </c>
      <c r="H377" s="93">
        <f>(C377/'Population Figures'!$AK30)*1000</f>
        <v>136.72097527629029</v>
      </c>
      <c r="I377" s="93">
        <f>(D377/'Population Figures'!$AK30)*1000</f>
        <v>18.989024343929209</v>
      </c>
      <c r="J377" s="93">
        <f>(E377/'Population Figures'!$AK30)*1000</f>
        <v>0</v>
      </c>
      <c r="K377" s="93">
        <f>(F377/'Population Figures'!$AK30)*1000</f>
        <v>319.01560897801073</v>
      </c>
      <c r="L377" s="129"/>
      <c r="O377" s="91" t="s">
        <v>34</v>
      </c>
      <c r="P377" s="541">
        <v>85.259568018188702</v>
      </c>
      <c r="Q377" s="542">
        <v>468.92762410003792</v>
      </c>
      <c r="R377" s="542">
        <v>18.946570670708603</v>
      </c>
      <c r="S377" s="543">
        <v>4.7366426676771507</v>
      </c>
      <c r="T377" s="540">
        <v>577.87040545661239</v>
      </c>
      <c r="U377" s="600"/>
      <c r="V377" s="90" t="e">
        <f>IF($O377=Cover!$C$5,0,IF($O377="Scotland",0,NA()))</f>
        <v>#N/A</v>
      </c>
      <c r="W377" s="90">
        <f>IF($O377=Cover!$C$5,NA(),IF($O377="Scotland",NA(),0))</f>
        <v>0</v>
      </c>
    </row>
    <row r="378" spans="1:23">
      <c r="A378" s="91" t="s">
        <v>56</v>
      </c>
      <c r="B378" s="538">
        <v>2300</v>
      </c>
      <c r="C378" s="538">
        <v>0</v>
      </c>
      <c r="D378" s="538">
        <v>200</v>
      </c>
      <c r="E378" s="539">
        <v>0</v>
      </c>
      <c r="F378" s="540">
        <v>2600</v>
      </c>
      <c r="G378" s="102">
        <f>(B378/'Population Figures'!$AK31)*1000</f>
        <v>543.47826086956513</v>
      </c>
      <c r="H378" s="93">
        <f>(C378/'Population Figures'!$AK31)*1000</f>
        <v>0</v>
      </c>
      <c r="I378" s="93">
        <f>(D378/'Population Figures'!$AK31)*1000</f>
        <v>47.258979206049148</v>
      </c>
      <c r="J378" s="93">
        <f>(E378/'Population Figures'!$AK31)*1000</f>
        <v>0</v>
      </c>
      <c r="K378" s="93">
        <f>(F378/'Population Figures'!$AK31)*1000</f>
        <v>614.36672967863888</v>
      </c>
      <c r="L378" s="129"/>
      <c r="O378" s="91" t="s">
        <v>52</v>
      </c>
      <c r="P378" s="541">
        <v>529.99788000847991</v>
      </c>
      <c r="Q378" s="542">
        <v>0</v>
      </c>
      <c r="R378" s="542">
        <v>0</v>
      </c>
      <c r="S378" s="543">
        <v>0</v>
      </c>
      <c r="T378" s="540">
        <v>529.99788000847991</v>
      </c>
      <c r="U378" s="600"/>
      <c r="V378" s="90" t="e">
        <f>IF($O378=Cover!$C$5,0,IF($O378="Scotland",0,NA()))</f>
        <v>#N/A</v>
      </c>
      <c r="W378" s="90">
        <f>IF($O378=Cover!$C$5,NA(),IF($O378="Scotland",NA(),0))</f>
        <v>0</v>
      </c>
    </row>
    <row r="379" spans="1:23">
      <c r="A379" s="91" t="s">
        <v>57</v>
      </c>
      <c r="B379" s="538">
        <v>4000</v>
      </c>
      <c r="C379" s="538">
        <v>14400</v>
      </c>
      <c r="D379" s="538">
        <v>0</v>
      </c>
      <c r="E379" s="539">
        <v>0</v>
      </c>
      <c r="F379" s="540">
        <v>18400</v>
      </c>
      <c r="G379" s="102">
        <f>(B379/'Population Figures'!$AK32)*1000</f>
        <v>151.65301789505611</v>
      </c>
      <c r="H379" s="93">
        <f>(C379/'Population Figures'!$AK32)*1000</f>
        <v>545.95086442220202</v>
      </c>
      <c r="I379" s="93">
        <f>(D379/'Population Figures'!$AK32)*1000</f>
        <v>0</v>
      </c>
      <c r="J379" s="93">
        <f>(E379/'Population Figures'!$AK32)*1000</f>
        <v>0</v>
      </c>
      <c r="K379" s="93">
        <f>(F379/'Population Figures'!$AK32)*1000</f>
        <v>697.60388231725813</v>
      </c>
      <c r="L379" s="129"/>
      <c r="O379" s="91" t="s">
        <v>31</v>
      </c>
      <c r="P379" s="541">
        <v>0</v>
      </c>
      <c r="Q379" s="542">
        <v>516.62239864569051</v>
      </c>
      <c r="R379" s="542">
        <v>0</v>
      </c>
      <c r="S379" s="543">
        <v>5.8375412276349206</v>
      </c>
      <c r="T379" s="540">
        <v>522.45993987332542</v>
      </c>
      <c r="U379" s="600"/>
      <c r="V379" s="90">
        <f>IF($O379=Cover!$C$5,0,IF($O379="Scotland",0,NA()))</f>
        <v>0</v>
      </c>
      <c r="W379" s="90" t="e">
        <f>IF($O379=Cover!$C$5,NA(),IF($O379="Scotland",NA(),0))</f>
        <v>#N/A</v>
      </c>
    </row>
    <row r="380" spans="1:23">
      <c r="A380" s="91" t="s">
        <v>58</v>
      </c>
      <c r="B380" s="538">
        <v>17900</v>
      </c>
      <c r="C380" s="538">
        <v>19900</v>
      </c>
      <c r="D380" s="538">
        <v>3100</v>
      </c>
      <c r="E380" s="539">
        <v>1700</v>
      </c>
      <c r="F380" s="540">
        <v>42600</v>
      </c>
      <c r="G380" s="102">
        <f>(B380/'Population Figures'!$AK33)*1000</f>
        <v>310.72073323149561</v>
      </c>
      <c r="H380" s="93">
        <f>(C380/'Population Figures'!$AK33)*1000</f>
        <v>345.4381335925566</v>
      </c>
      <c r="I380" s="93">
        <f>(D380/'Population Figures'!$AK33)*1000</f>
        <v>53.811970559644493</v>
      </c>
      <c r="J380" s="93">
        <f>(E380/'Population Figures'!$AK33)*1000</f>
        <v>29.509790306901817</v>
      </c>
      <c r="K380" s="93">
        <f>(F380/'Population Figures'!$AK33)*1000</f>
        <v>739.48062769059857</v>
      </c>
      <c r="L380" s="129"/>
      <c r="O380" s="91" t="s">
        <v>32</v>
      </c>
      <c r="P380" s="541">
        <v>165.98235345505373</v>
      </c>
      <c r="Q380" s="542">
        <v>179.08622346466325</v>
      </c>
      <c r="R380" s="542">
        <v>48.047523368568186</v>
      </c>
      <c r="S380" s="543">
        <v>0</v>
      </c>
      <c r="T380" s="540">
        <v>393.11610028828517</v>
      </c>
      <c r="U380" s="600"/>
      <c r="V380" s="90" t="e">
        <f>IF($O380=Cover!$C$5,0,IF($O380="Scotland",0,NA()))</f>
        <v>#N/A</v>
      </c>
      <c r="W380" s="90">
        <f>IF($O380=Cover!$C$5,NA(),IF($O380="Scotland",NA(),0))</f>
        <v>0</v>
      </c>
    </row>
    <row r="381" spans="1:23">
      <c r="A381" s="91" t="s">
        <v>59</v>
      </c>
      <c r="B381" s="538">
        <v>1200</v>
      </c>
      <c r="C381" s="538">
        <v>15900</v>
      </c>
      <c r="D381" s="538">
        <v>400</v>
      </c>
      <c r="E381" s="539">
        <v>1400</v>
      </c>
      <c r="F381" s="540">
        <v>18900</v>
      </c>
      <c r="G381" s="102">
        <f>(B381/'Population Figures'!$AK34)*1000</f>
        <v>71.106897369044802</v>
      </c>
      <c r="H381" s="93">
        <f>(C381/'Population Figures'!$AK34)*1000</f>
        <v>942.16639013984366</v>
      </c>
      <c r="I381" s="93">
        <f>(D381/'Population Figures'!$AK34)*1000</f>
        <v>23.702299123014932</v>
      </c>
      <c r="J381" s="93">
        <f>(E381/'Population Figures'!$AK34)*1000</f>
        <v>82.958046930552271</v>
      </c>
      <c r="K381" s="93">
        <f>(F381/'Population Figures'!$AK34)*1000</f>
        <v>1119.9336335624555</v>
      </c>
      <c r="L381" s="129"/>
      <c r="O381" s="91" t="s">
        <v>41</v>
      </c>
      <c r="P381" s="541">
        <v>197.86307874950535</v>
      </c>
      <c r="Q381" s="542">
        <v>90.451693142631015</v>
      </c>
      <c r="R381" s="542">
        <v>56.532308214144386</v>
      </c>
      <c r="S381" s="543">
        <v>0</v>
      </c>
      <c r="T381" s="540">
        <v>344.84708010628071</v>
      </c>
      <c r="U381" s="600"/>
      <c r="V381" s="90" t="e">
        <f>IF($O381=Cover!$C$5,0,IF($O381="Scotland",0,NA()))</f>
        <v>#N/A</v>
      </c>
      <c r="W381" s="90">
        <f>IF($O381=Cover!$C$5,NA(),IF($O381="Scotland",NA(),0))</f>
        <v>0</v>
      </c>
    </row>
    <row r="382" spans="1:23">
      <c r="A382" s="91" t="s">
        <v>60</v>
      </c>
      <c r="B382" s="538">
        <v>9600</v>
      </c>
      <c r="C382" s="538">
        <v>400</v>
      </c>
      <c r="D382" s="538">
        <v>500</v>
      </c>
      <c r="E382" s="539">
        <v>0</v>
      </c>
      <c r="F382" s="540">
        <v>10500</v>
      </c>
      <c r="G382" s="102">
        <f>(B382/'Population Figures'!$AK35)*1000</f>
        <v>609.87230798551548</v>
      </c>
      <c r="H382" s="93">
        <f>(C382/'Population Figures'!$AK35)*1000</f>
        <v>25.411346166063147</v>
      </c>
      <c r="I382" s="93">
        <f>(D382/'Population Figures'!$AK35)*1000</f>
        <v>31.764182707578936</v>
      </c>
      <c r="J382" s="93">
        <f>(E382/'Population Figures'!$AK35)*1000</f>
        <v>0</v>
      </c>
      <c r="K382" s="93">
        <f>(F382/'Population Figures'!$AK35)*1000</f>
        <v>667.04783685915754</v>
      </c>
      <c r="L382" s="129"/>
      <c r="O382" s="91" t="s">
        <v>53</v>
      </c>
      <c r="P382" s="541">
        <v>39.98031738221183</v>
      </c>
      <c r="Q382" s="542">
        <v>282.93763070488376</v>
      </c>
      <c r="R382" s="542">
        <v>3.0754090294009102</v>
      </c>
      <c r="S382" s="543">
        <v>0</v>
      </c>
      <c r="T382" s="540">
        <v>325.9933571164965</v>
      </c>
      <c r="U382" s="600"/>
      <c r="V382" s="90" t="e">
        <f>IF($O382=Cover!$C$5,0,IF($O382="Scotland",0,NA()))</f>
        <v>#N/A</v>
      </c>
      <c r="W382" s="90">
        <f>IF($O382=Cover!$C$5,NA(),IF($O382="Scotland",NA(),0))</f>
        <v>0</v>
      </c>
    </row>
    <row r="383" spans="1:23">
      <c r="A383" s="91" t="s">
        <v>61</v>
      </c>
      <c r="B383" s="538">
        <v>3000</v>
      </c>
      <c r="C383" s="538">
        <v>15500</v>
      </c>
      <c r="D383" s="538">
        <v>400</v>
      </c>
      <c r="E383" s="539">
        <v>0</v>
      </c>
      <c r="F383" s="540">
        <v>18800</v>
      </c>
      <c r="G383" s="102">
        <f>(B383/'Population Figures'!$AK36)*1000</f>
        <v>110.57869517139697</v>
      </c>
      <c r="H383" s="93">
        <f>(C383/'Population Figures'!$AK36)*1000</f>
        <v>571.32325838555107</v>
      </c>
      <c r="I383" s="93">
        <f>(D383/'Population Figures'!$AK36)*1000</f>
        <v>14.743826022852931</v>
      </c>
      <c r="J383" s="93">
        <f>(E383/'Population Figures'!$AK36)*1000</f>
        <v>0</v>
      </c>
      <c r="K383" s="93">
        <f>(F383/'Population Figures'!$AK36)*1000</f>
        <v>692.95982307408781</v>
      </c>
      <c r="L383" s="129"/>
      <c r="O383" s="91" t="s">
        <v>55</v>
      </c>
      <c r="P383" s="541">
        <v>163.30560935779121</v>
      </c>
      <c r="Q383" s="542">
        <v>136.72097527629029</v>
      </c>
      <c r="R383" s="542">
        <v>18.989024343929209</v>
      </c>
      <c r="S383" s="543">
        <v>0</v>
      </c>
      <c r="T383" s="540">
        <v>319.01560897801073</v>
      </c>
      <c r="U383" s="600"/>
      <c r="V383" s="90" t="e">
        <f>IF($O383=Cover!$C$5,0,IF($O383="Scotland",0,NA()))</f>
        <v>#N/A</v>
      </c>
      <c r="W383" s="90">
        <f>IF($O383=Cover!$C$5,NA(),IF($O383="Scotland",NA(),0))</f>
        <v>0</v>
      </c>
    </row>
    <row r="384" spans="1:23">
      <c r="A384" s="94" t="s">
        <v>5</v>
      </c>
      <c r="B384" s="548">
        <v>231500</v>
      </c>
      <c r="C384" s="548">
        <v>392700</v>
      </c>
      <c r="D384" s="548">
        <v>72100</v>
      </c>
      <c r="E384" s="549">
        <v>9700</v>
      </c>
      <c r="F384" s="547">
        <v>706000</v>
      </c>
      <c r="G384" s="103">
        <f>(B384/'Population Figures'!$AK37)*1000</f>
        <v>239.0568253047071</v>
      </c>
      <c r="H384" s="95">
        <f>(C384/'Population Figures'!$AK37)*1000</f>
        <v>405.51885657519858</v>
      </c>
      <c r="I384" s="95">
        <f>(D384/'Population Figures'!$AK37)*1000</f>
        <v>74.453551207211163</v>
      </c>
      <c r="J384" s="95">
        <f>(E384/'Population Figures'!$AK37)*1000</f>
        <v>10.016635876698311</v>
      </c>
      <c r="K384" s="95">
        <f>(F384/'Population Figures'!$AK37)*1000</f>
        <v>729.04586896381522</v>
      </c>
      <c r="L384" s="478"/>
      <c r="O384" s="91" t="s">
        <v>46</v>
      </c>
      <c r="P384" s="541">
        <v>127.04363219827137</v>
      </c>
      <c r="Q384" s="542">
        <v>127.04363219827137</v>
      </c>
      <c r="R384" s="542">
        <v>35.405602415911694</v>
      </c>
      <c r="S384" s="543">
        <v>0</v>
      </c>
      <c r="T384" s="540">
        <v>289.49286681245445</v>
      </c>
      <c r="U384" s="600"/>
      <c r="V384" s="90" t="e">
        <f>IF($O384=Cover!$C$5,0,IF($O384="Scotland",0,NA()))</f>
        <v>#N/A</v>
      </c>
      <c r="W384" s="90">
        <f>IF($O384=Cover!$C$5,NA(),IF($O384="Scotland",NA(),0))</f>
        <v>0</v>
      </c>
    </row>
    <row r="385" spans="1:23">
      <c r="F385" s="90"/>
      <c r="G385" s="90"/>
      <c r="H385" s="90"/>
      <c r="I385" s="90"/>
      <c r="J385" s="90"/>
      <c r="K385" s="90"/>
    </row>
    <row r="386" spans="1:23">
      <c r="A386" s="85" t="s">
        <v>367</v>
      </c>
      <c r="P386" t="s">
        <v>145</v>
      </c>
      <c r="Q386" t="str">
        <f>P351</f>
        <v>Solely from Local Authority</v>
      </c>
      <c r="R386" t="str">
        <f>Q351</f>
        <v>Combination of LA and private/voluntary sector</v>
      </c>
      <c r="S386" t="str">
        <f>R351</f>
        <v>Solely from private/voluntary sector</v>
      </c>
      <c r="T386" t="str">
        <f>S351</f>
        <v>Other combination</v>
      </c>
      <c r="W386" t="str">
        <f>T351</f>
        <v>Total</v>
      </c>
    </row>
    <row r="387" spans="1:23">
      <c r="A387" s="5" t="s">
        <v>128</v>
      </c>
      <c r="P387" s="1" t="str">
        <f>VLOOKUP(Cover!$C$5,$O$351:$V$384,1,0)</f>
        <v>Aberdeen City</v>
      </c>
      <c r="Q387" s="90">
        <f>VLOOKUP(Cover!$C$5,$O$351:$V$384,2,0)</f>
        <v>0</v>
      </c>
      <c r="R387" s="90">
        <f>VLOOKUP(Cover!$C$5,$O$351:$V$384,3,0)</f>
        <v>516.62239864569051</v>
      </c>
      <c r="S387" s="90">
        <f>VLOOKUP(Cover!$C$5,$O$351:$V$384,4,0)</f>
        <v>0</v>
      </c>
      <c r="T387" s="90">
        <f>VLOOKUP(Cover!$C$5,$O$351:$V$384,5,0)</f>
        <v>5.8375412276349206</v>
      </c>
      <c r="U387" s="90"/>
      <c r="V387" s="90"/>
      <c r="W387" s="90">
        <f>VLOOKUP(Cover!$C$5,$O$351:$V$384,6,0)</f>
        <v>522.45993987332542</v>
      </c>
    </row>
    <row r="390" spans="1:23">
      <c r="A390" s="1" t="s">
        <v>389</v>
      </c>
    </row>
    <row r="393" spans="1:23">
      <c r="A393" t="s">
        <v>26</v>
      </c>
      <c r="B393" t="s">
        <v>115</v>
      </c>
      <c r="C393" t="s">
        <v>116</v>
      </c>
      <c r="D393" t="s">
        <v>110</v>
      </c>
      <c r="E393" t="s">
        <v>191</v>
      </c>
      <c r="F393" t="s">
        <v>194</v>
      </c>
      <c r="G393" t="s">
        <v>195</v>
      </c>
      <c r="R393" s="90"/>
    </row>
    <row r="394" spans="1:23">
      <c r="A394" s="91" t="s">
        <v>44</v>
      </c>
      <c r="B394" s="550">
        <v>31.099165529178336</v>
      </c>
      <c r="C394" s="550">
        <v>8.1195558870298186</v>
      </c>
      <c r="D394" s="391">
        <f t="shared" ref="D394:D426" si="12">B394+C394</f>
        <v>39.218721416208155</v>
      </c>
      <c r="E394" s="413">
        <f t="shared" ref="E394:E426" si="13">B394/D394</f>
        <v>0.79296734840330108</v>
      </c>
      <c r="F394" s="238" t="e">
        <f>IF($A394=Cover!$C$5,0,IF($A394="Scotland",0,NA()))</f>
        <v>#N/A</v>
      </c>
      <c r="G394" s="238">
        <f>IF($A394=Cover!$C$5,NA(),IF($A394="Scotland",NA(),0))</f>
        <v>0</v>
      </c>
      <c r="H394" s="238"/>
      <c r="I394" s="238"/>
      <c r="L394" s="18"/>
      <c r="Q394" s="188"/>
      <c r="R394" s="90"/>
    </row>
    <row r="395" spans="1:23">
      <c r="A395" s="91" t="s">
        <v>46</v>
      </c>
      <c r="B395" s="550">
        <v>32.489846922836612</v>
      </c>
      <c r="C395" s="550">
        <v>9.0180152035822143</v>
      </c>
      <c r="D395" s="391">
        <f t="shared" si="12"/>
        <v>41.507862126418829</v>
      </c>
      <c r="E395" s="413">
        <f t="shared" si="13"/>
        <v>0.78273958855995984</v>
      </c>
      <c r="F395" s="238" t="e">
        <f>IF($A395=Cover!$C$5,0,IF($A395="Scotland",0,NA()))</f>
        <v>#N/A</v>
      </c>
      <c r="G395" s="238">
        <f>IF($A395=Cover!$C$5,NA(),IF($A395="Scotland",NA(),0))</f>
        <v>0</v>
      </c>
      <c r="H395" s="238"/>
      <c r="I395" s="238"/>
      <c r="L395" s="18"/>
      <c r="R395" s="90"/>
    </row>
    <row r="396" spans="1:23">
      <c r="A396" s="417" t="s">
        <v>41</v>
      </c>
      <c r="B396" s="542">
        <v>32.223415682062303</v>
      </c>
      <c r="C396" s="542">
        <v>9.6670247046186901</v>
      </c>
      <c r="D396" s="391">
        <f t="shared" si="12"/>
        <v>41.890440386680993</v>
      </c>
      <c r="E396" s="413">
        <f t="shared" si="13"/>
        <v>0.76923076923076927</v>
      </c>
      <c r="F396" s="238" t="e">
        <f>IF($A396=Cover!$C$5,0,IF($A396="Scotland",0,NA()))</f>
        <v>#N/A</v>
      </c>
      <c r="G396" s="238">
        <f>IF($A396=Cover!$C$5,NA(),IF($A396="Scotland",NA(),0))</f>
        <v>0</v>
      </c>
      <c r="H396" s="238"/>
      <c r="I396" s="238"/>
      <c r="L396" s="18"/>
      <c r="R396" s="90"/>
    </row>
    <row r="397" spans="1:23">
      <c r="A397" s="91" t="s">
        <v>31</v>
      </c>
      <c r="B397" s="550">
        <v>39.403403286535706</v>
      </c>
      <c r="C397" s="550">
        <v>13.163655468316744</v>
      </c>
      <c r="D397" s="391">
        <f t="shared" si="12"/>
        <v>52.567058754852454</v>
      </c>
      <c r="E397" s="413">
        <f t="shared" si="13"/>
        <v>0.74958356468628529</v>
      </c>
      <c r="F397" s="238">
        <f>IF($A397=Cover!$C$5,0,IF($A397="Scotland",0,NA()))</f>
        <v>0</v>
      </c>
      <c r="G397" s="238" t="e">
        <f>IF($A397=Cover!$C$5,NA(),IF($A397="Scotland",NA(),0))</f>
        <v>#N/A</v>
      </c>
      <c r="H397" s="238"/>
      <c r="I397" s="238"/>
      <c r="L397" s="18"/>
      <c r="M397" s="18" t="s">
        <v>44</v>
      </c>
      <c r="N397" s="90">
        <v>31.099165529178336</v>
      </c>
      <c r="O397">
        <v>7.9</v>
      </c>
      <c r="P397" s="391">
        <f t="shared" ref="P397:P429" si="14">N397+O397</f>
        <v>38.999165529178335</v>
      </c>
      <c r="Q397" s="413">
        <f t="shared" ref="Q397:Q429" si="15">N397/P397</f>
        <v>0.79743156314230901</v>
      </c>
      <c r="R397" s="90"/>
    </row>
    <row r="398" spans="1:23">
      <c r="A398" s="91" t="s">
        <v>55</v>
      </c>
      <c r="B398" s="550">
        <v>24.685731647107971</v>
      </c>
      <c r="C398" s="550">
        <v>8.6210170521438609</v>
      </c>
      <c r="D398" s="391">
        <f t="shared" si="12"/>
        <v>33.306748699251834</v>
      </c>
      <c r="E398" s="413">
        <f t="shared" si="13"/>
        <v>0.74116305587229181</v>
      </c>
      <c r="F398" s="238" t="e">
        <f>IF($A398=Cover!$C$5,0,IF($A398="Scotland",0,NA()))</f>
        <v>#N/A</v>
      </c>
      <c r="G398" s="238">
        <f>IF($A398=Cover!$C$5,NA(),IF($A398="Scotland",NA(),0))</f>
        <v>0</v>
      </c>
      <c r="H398" s="238"/>
      <c r="I398" s="238"/>
      <c r="L398" s="18"/>
      <c r="M398" s="18" t="s">
        <v>46</v>
      </c>
      <c r="N398" s="90">
        <v>32.489846922836612</v>
      </c>
      <c r="O398">
        <v>8.6999999999999993</v>
      </c>
      <c r="P398" s="391">
        <f t="shared" si="14"/>
        <v>41.189846922836608</v>
      </c>
      <c r="Q398" s="413">
        <f t="shared" si="15"/>
        <v>0.78878290040023158</v>
      </c>
      <c r="R398" s="90"/>
    </row>
    <row r="399" spans="1:23">
      <c r="A399" s="91" t="s">
        <v>53</v>
      </c>
      <c r="B399" s="550">
        <v>24.295731332267192</v>
      </c>
      <c r="C399" s="550">
        <v>9.0417025464386764</v>
      </c>
      <c r="D399" s="391">
        <f t="shared" si="12"/>
        <v>33.337433878705866</v>
      </c>
      <c r="E399" s="413">
        <f t="shared" si="13"/>
        <v>0.72878228782287824</v>
      </c>
      <c r="F399" s="238" t="e">
        <f>IF($A399=Cover!$C$5,0,IF($A399="Scotland",0,NA()))</f>
        <v>#N/A</v>
      </c>
      <c r="G399" s="238">
        <f>IF($A399=Cover!$C$5,NA(),IF($A399="Scotland",NA(),0))</f>
        <v>0</v>
      </c>
      <c r="H399" s="238"/>
      <c r="I399" s="238"/>
      <c r="L399" s="18"/>
      <c r="M399" s="18" t="s">
        <v>41</v>
      </c>
      <c r="N399" s="90">
        <v>32.223415682062303</v>
      </c>
      <c r="O399">
        <v>9.6</v>
      </c>
      <c r="P399" s="391">
        <f t="shared" si="14"/>
        <v>41.823415682062304</v>
      </c>
      <c r="Q399" s="413">
        <f t="shared" si="15"/>
        <v>0.77046351084812625</v>
      </c>
      <c r="R399" s="90"/>
    </row>
    <row r="400" spans="1:23">
      <c r="A400" s="91" t="s">
        <v>43</v>
      </c>
      <c r="B400" s="550">
        <v>30.757125996924287</v>
      </c>
      <c r="C400" s="550">
        <v>12.660491398733951</v>
      </c>
      <c r="D400" s="391">
        <f t="shared" si="12"/>
        <v>43.41761739565824</v>
      </c>
      <c r="E400" s="413">
        <f t="shared" si="13"/>
        <v>0.70840197693574958</v>
      </c>
      <c r="F400" s="238" t="e">
        <f>IF($A400=Cover!$C$5,0,IF($A400="Scotland",0,NA()))</f>
        <v>#N/A</v>
      </c>
      <c r="G400" s="238">
        <f>IF($A400=Cover!$C$5,NA(),IF($A400="Scotland",NA(),0))</f>
        <v>0</v>
      </c>
      <c r="H400" s="238"/>
      <c r="I400" s="238"/>
      <c r="L400" s="18"/>
      <c r="M400" t="s">
        <v>31</v>
      </c>
      <c r="N400" s="90">
        <v>39.403403286535706</v>
      </c>
      <c r="O400">
        <v>12.8</v>
      </c>
      <c r="P400" s="391">
        <f t="shared" si="14"/>
        <v>52.203403286535703</v>
      </c>
      <c r="Q400" s="413">
        <f t="shared" si="15"/>
        <v>0.75480525800697418</v>
      </c>
      <c r="R400" s="90"/>
    </row>
    <row r="401" spans="1:18">
      <c r="A401" s="91" t="s">
        <v>32</v>
      </c>
      <c r="B401" s="550">
        <v>30.794094522582338</v>
      </c>
      <c r="C401" s="550">
        <v>12.688914125971872</v>
      </c>
      <c r="D401" s="391">
        <f t="shared" si="12"/>
        <v>43.483008648554211</v>
      </c>
      <c r="E401" s="413">
        <f t="shared" si="13"/>
        <v>0.70818684078352578</v>
      </c>
      <c r="F401" s="238" t="e">
        <f>IF($A401=Cover!$C$5,0,IF($A401="Scotland",0,NA()))</f>
        <v>#N/A</v>
      </c>
      <c r="G401" s="238">
        <f>IF($A401=Cover!$C$5,NA(),IF($A401="Scotland",NA(),0))</f>
        <v>0</v>
      </c>
      <c r="H401" s="238"/>
      <c r="I401" s="238"/>
      <c r="L401" s="18"/>
      <c r="M401" s="18" t="s">
        <v>55</v>
      </c>
      <c r="N401" s="90">
        <v>24.685731647107971</v>
      </c>
      <c r="O401">
        <v>8.6999999999999993</v>
      </c>
      <c r="P401" s="391">
        <f t="shared" si="14"/>
        <v>33.385731647107974</v>
      </c>
      <c r="Q401" s="413">
        <f t="shared" si="15"/>
        <v>0.73940963487155931</v>
      </c>
      <c r="R401" s="90"/>
    </row>
    <row r="402" spans="1:18">
      <c r="A402" s="91" t="s">
        <v>37</v>
      </c>
      <c r="B402" s="550">
        <v>40.703985113971157</v>
      </c>
      <c r="C402" s="550">
        <v>18.064816250581487</v>
      </c>
      <c r="D402" s="391">
        <f t="shared" si="12"/>
        <v>58.768801364552644</v>
      </c>
      <c r="E402" s="413">
        <f t="shared" si="13"/>
        <v>0.69261213720316617</v>
      </c>
      <c r="F402" s="238" t="e">
        <f>IF($A402=Cover!$C$5,0,IF($A402="Scotland",0,NA()))</f>
        <v>#N/A</v>
      </c>
      <c r="G402" s="238">
        <f>IF($A402=Cover!$C$5,NA(),IF($A402="Scotland",NA(),0))</f>
        <v>0</v>
      </c>
      <c r="H402" s="238"/>
      <c r="I402" s="238"/>
      <c r="L402" s="18"/>
      <c r="M402" s="18" t="s">
        <v>53</v>
      </c>
      <c r="N402" s="90">
        <v>24.295731332267192</v>
      </c>
      <c r="O402">
        <v>8.9</v>
      </c>
      <c r="P402" s="391">
        <f t="shared" si="14"/>
        <v>33.195731332267194</v>
      </c>
      <c r="Q402" s="413">
        <f t="shared" si="15"/>
        <v>0.73189323919642191</v>
      </c>
      <c r="R402" s="90"/>
    </row>
    <row r="403" spans="1:18">
      <c r="A403" s="91" t="s">
        <v>38</v>
      </c>
      <c r="B403" s="550">
        <v>31.027795733678087</v>
      </c>
      <c r="C403" s="550">
        <v>14.005602240896359</v>
      </c>
      <c r="D403" s="391">
        <f t="shared" si="12"/>
        <v>45.033397974574441</v>
      </c>
      <c r="E403" s="413">
        <f t="shared" si="13"/>
        <v>0.68899521531100483</v>
      </c>
      <c r="F403" s="238" t="e">
        <f>IF($A403=Cover!$C$5,0,IF($A403="Scotland",0,NA()))</f>
        <v>#N/A</v>
      </c>
      <c r="G403" s="238">
        <f>IF($A403=Cover!$C$5,NA(),IF($A403="Scotland",NA(),0))</f>
        <v>0</v>
      </c>
      <c r="H403" s="238"/>
      <c r="I403" s="238"/>
      <c r="L403" s="18"/>
      <c r="M403" s="18" t="s">
        <v>43</v>
      </c>
      <c r="N403" s="90">
        <v>30.757125996924287</v>
      </c>
      <c r="O403">
        <v>11.8</v>
      </c>
      <c r="P403" s="391">
        <f t="shared" si="14"/>
        <v>42.557125996924285</v>
      </c>
      <c r="Q403" s="413">
        <f t="shared" si="15"/>
        <v>0.72272563704483206</v>
      </c>
      <c r="R403" s="90"/>
    </row>
    <row r="404" spans="1:18">
      <c r="A404" s="91" t="s">
        <v>54</v>
      </c>
      <c r="B404" s="550">
        <v>31.180120311171304</v>
      </c>
      <c r="C404" s="550">
        <v>14.645208024944097</v>
      </c>
      <c r="D404" s="391">
        <f t="shared" si="12"/>
        <v>45.825328336115405</v>
      </c>
      <c r="E404" s="413">
        <f t="shared" si="13"/>
        <v>0.68041237113402053</v>
      </c>
      <c r="F404" s="238" t="e">
        <f>IF($A404=Cover!$C$5,0,IF($A404="Scotland",0,NA()))</f>
        <v>#N/A</v>
      </c>
      <c r="G404" s="238">
        <f>IF($A404=Cover!$C$5,NA(),IF($A404="Scotland",NA(),0))</f>
        <v>0</v>
      </c>
      <c r="H404" s="238"/>
      <c r="I404" s="238"/>
      <c r="L404" s="18"/>
      <c r="M404" s="18" t="s">
        <v>32</v>
      </c>
      <c r="N404" s="90">
        <v>30.794094522582338</v>
      </c>
      <c r="O404">
        <v>12.2</v>
      </c>
      <c r="P404" s="391">
        <f t="shared" si="14"/>
        <v>42.994094522582337</v>
      </c>
      <c r="Q404" s="413">
        <f t="shared" si="15"/>
        <v>0.71624009912356601</v>
      </c>
      <c r="R404" s="90"/>
    </row>
    <row r="405" spans="1:18">
      <c r="A405" s="91" t="s">
        <v>48</v>
      </c>
      <c r="B405" s="550">
        <v>26.260167808877217</v>
      </c>
      <c r="C405" s="550">
        <v>12.553641196438864</v>
      </c>
      <c r="D405" s="391">
        <f t="shared" si="12"/>
        <v>38.813809005316081</v>
      </c>
      <c r="E405" s="413">
        <f t="shared" si="13"/>
        <v>0.67656765676567654</v>
      </c>
      <c r="F405" s="238" t="e">
        <f>IF($A405=Cover!$C$5,0,IF($A405="Scotland",0,NA()))</f>
        <v>#N/A</v>
      </c>
      <c r="G405" s="238">
        <f>IF($A405=Cover!$C$5,NA(),IF($A405="Scotland",NA(),0))</f>
        <v>0</v>
      </c>
      <c r="H405" s="238"/>
      <c r="I405" s="238"/>
      <c r="L405" s="18"/>
      <c r="M405" s="18" t="s">
        <v>37</v>
      </c>
      <c r="N405" s="90">
        <v>40.703985113971157</v>
      </c>
      <c r="O405">
        <v>17.399999999999999</v>
      </c>
      <c r="P405" s="391">
        <f t="shared" si="14"/>
        <v>58.103985113971156</v>
      </c>
      <c r="Q405" s="413">
        <f t="shared" si="15"/>
        <v>0.70053689147362541</v>
      </c>
      <c r="R405" s="90"/>
    </row>
    <row r="406" spans="1:18">
      <c r="A406" s="91" t="s">
        <v>57</v>
      </c>
      <c r="B406" s="550">
        <v>34.121929026387626</v>
      </c>
      <c r="C406" s="550">
        <v>16.56809220503488</v>
      </c>
      <c r="D406" s="391">
        <f t="shared" si="12"/>
        <v>50.690021231422506</v>
      </c>
      <c r="E406" s="413">
        <f t="shared" si="13"/>
        <v>0.67314884068810776</v>
      </c>
      <c r="F406" s="238" t="e">
        <f>IF($A406=Cover!$C$5,0,IF($A406="Scotland",0,NA()))</f>
        <v>#N/A</v>
      </c>
      <c r="G406" s="238">
        <f>IF($A406=Cover!$C$5,NA(),IF($A406="Scotland",NA(),0))</f>
        <v>0</v>
      </c>
      <c r="H406" s="238"/>
      <c r="I406" s="238"/>
      <c r="L406" s="18"/>
      <c r="M406" s="18" t="s">
        <v>38</v>
      </c>
      <c r="N406" s="90">
        <v>31.027795733678087</v>
      </c>
      <c r="O406">
        <v>13.8</v>
      </c>
      <c r="P406" s="391">
        <f t="shared" si="14"/>
        <v>44.827795733678087</v>
      </c>
      <c r="Q406" s="413">
        <f t="shared" si="15"/>
        <v>0.69215528503819834</v>
      </c>
      <c r="R406" s="90"/>
    </row>
    <row r="407" spans="1:18">
      <c r="A407" s="91" t="s">
        <v>33</v>
      </c>
      <c r="B407" s="550">
        <v>27.698669683610969</v>
      </c>
      <c r="C407" s="550">
        <v>15.175750009753052</v>
      </c>
      <c r="D407" s="391">
        <f t="shared" si="12"/>
        <v>42.874419693364018</v>
      </c>
      <c r="E407" s="413">
        <f t="shared" si="13"/>
        <v>0.64604185623293908</v>
      </c>
      <c r="F407" s="238" t="e">
        <f>IF($A407=Cover!$C$5,0,IF($A407="Scotland",0,NA()))</f>
        <v>#N/A</v>
      </c>
      <c r="G407" s="238">
        <f>IF($A407=Cover!$C$5,NA(),IF($A407="Scotland",NA(),0))</f>
        <v>0</v>
      </c>
      <c r="H407" s="238"/>
      <c r="I407" s="238"/>
      <c r="L407" s="18"/>
      <c r="M407" s="18" t="s">
        <v>54</v>
      </c>
      <c r="N407" s="90">
        <v>31.180120311171304</v>
      </c>
      <c r="O407">
        <v>14.2</v>
      </c>
      <c r="P407" s="391">
        <f t="shared" si="14"/>
        <v>45.380120311171304</v>
      </c>
      <c r="Q407" s="413">
        <f t="shared" si="15"/>
        <v>0.68708765197997146</v>
      </c>
      <c r="R407" s="90"/>
    </row>
    <row r="408" spans="1:18">
      <c r="A408" s="91" t="s">
        <v>47</v>
      </c>
      <c r="B408" s="550">
        <v>43.336944745395449</v>
      </c>
      <c r="C408" s="550">
        <v>24.026512013256006</v>
      </c>
      <c r="D408" s="391">
        <f t="shared" si="12"/>
        <v>67.363456758651452</v>
      </c>
      <c r="E408" s="413">
        <f t="shared" si="13"/>
        <v>0.64333017975402085</v>
      </c>
      <c r="F408" s="238" t="e">
        <f>IF($A408=Cover!$C$5,0,IF($A408="Scotland",0,NA()))</f>
        <v>#N/A</v>
      </c>
      <c r="G408" s="238">
        <f>IF($A408=Cover!$C$5,NA(),IF($A408="Scotland",NA(),0))</f>
        <v>0</v>
      </c>
      <c r="H408" s="238"/>
      <c r="I408" s="238"/>
      <c r="L408" s="18"/>
      <c r="M408" s="18" t="s">
        <v>48</v>
      </c>
      <c r="N408" s="90">
        <v>26.260167808877217</v>
      </c>
      <c r="O408">
        <v>12.2</v>
      </c>
      <c r="P408" s="391">
        <f t="shared" si="14"/>
        <v>38.460167808877216</v>
      </c>
      <c r="Q408" s="413">
        <f t="shared" si="15"/>
        <v>0.68278869555051591</v>
      </c>
      <c r="R408" s="90"/>
    </row>
    <row r="409" spans="1:18">
      <c r="A409" s="91" t="s">
        <v>5</v>
      </c>
      <c r="B409" s="550">
        <v>31.24777336380318</v>
      </c>
      <c r="C409" s="550">
        <v>17.355628781409123</v>
      </c>
      <c r="D409" s="391">
        <f t="shared" si="12"/>
        <v>48.6034021452123</v>
      </c>
      <c r="E409" s="413">
        <f t="shared" si="13"/>
        <v>0.64291329381519968</v>
      </c>
      <c r="F409" s="238">
        <f>IF($A409=Cover!$C$5,0,IF($A409="Scotland",0,NA()))</f>
        <v>0</v>
      </c>
      <c r="G409" s="238" t="e">
        <f>IF($A409=Cover!$C$5,NA(),IF($A409="Scotland",NA(),0))</f>
        <v>#N/A</v>
      </c>
      <c r="H409" s="238"/>
      <c r="I409" s="238"/>
      <c r="L409" s="18"/>
      <c r="M409" s="18" t="s">
        <v>57</v>
      </c>
      <c r="N409" s="90">
        <v>34.121929026387626</v>
      </c>
      <c r="O409">
        <v>16.3</v>
      </c>
      <c r="P409" s="391">
        <f t="shared" si="14"/>
        <v>50.42192902638763</v>
      </c>
      <c r="Q409" s="413">
        <f t="shared" si="15"/>
        <v>0.67672795716582712</v>
      </c>
      <c r="R409" s="90"/>
    </row>
    <row r="410" spans="1:18">
      <c r="A410" s="91" t="s">
        <v>58</v>
      </c>
      <c r="B410" s="550">
        <v>29.336203305096515</v>
      </c>
      <c r="C410" s="550">
        <v>17.445493681433135</v>
      </c>
      <c r="D410" s="391">
        <f t="shared" si="12"/>
        <v>46.781696986529653</v>
      </c>
      <c r="E410" s="413">
        <f t="shared" si="13"/>
        <v>0.62708719851576988</v>
      </c>
      <c r="F410" s="238" t="e">
        <f>IF($A410=Cover!$C$5,0,IF($A410="Scotland",0,NA()))</f>
        <v>#N/A</v>
      </c>
      <c r="G410" s="238">
        <f>IF($A410=Cover!$C$5,NA(),IF($A410="Scotland",NA(),0))</f>
        <v>0</v>
      </c>
      <c r="H410" s="238"/>
      <c r="I410" s="238"/>
      <c r="L410" s="18"/>
      <c r="M410" s="18" t="s">
        <v>33</v>
      </c>
      <c r="N410" s="90">
        <v>27.698669683610969</v>
      </c>
      <c r="O410">
        <v>14.4</v>
      </c>
      <c r="P410" s="391">
        <f t="shared" si="14"/>
        <v>42.098669683610972</v>
      </c>
      <c r="Q410" s="413">
        <f t="shared" si="15"/>
        <v>0.65794643611729309</v>
      </c>
      <c r="R410" s="90"/>
    </row>
    <row r="411" spans="1:18">
      <c r="A411" s="91" t="s">
        <v>140</v>
      </c>
      <c r="B411" s="550">
        <v>35.090571610508199</v>
      </c>
      <c r="C411" s="550">
        <v>21.62337926269154</v>
      </c>
      <c r="D411" s="391">
        <f t="shared" si="12"/>
        <v>56.713950873199735</v>
      </c>
      <c r="E411" s="413">
        <f t="shared" si="13"/>
        <v>0.61872909698996659</v>
      </c>
      <c r="F411" s="238" t="e">
        <f>IF($A411=Cover!$C$5,0,IF($A411="Scotland",0,NA()))</f>
        <v>#N/A</v>
      </c>
      <c r="G411" s="238">
        <f>IF($A411=Cover!$C$5,NA(),IF($A411="Scotland",NA(),0))</f>
        <v>0</v>
      </c>
      <c r="H411" s="238"/>
      <c r="I411" s="238"/>
      <c r="L411" s="18"/>
      <c r="M411" s="18" t="s">
        <v>47</v>
      </c>
      <c r="N411" s="90">
        <v>43.336944745395449</v>
      </c>
      <c r="O411">
        <v>23.6</v>
      </c>
      <c r="P411" s="391">
        <f t="shared" si="14"/>
        <v>66.936944745395451</v>
      </c>
      <c r="Q411" s="413">
        <f t="shared" si="15"/>
        <v>0.64742938164019759</v>
      </c>
      <c r="R411" s="90"/>
    </row>
    <row r="412" spans="1:18">
      <c r="A412" s="91" t="s">
        <v>60</v>
      </c>
      <c r="B412" s="550">
        <v>34.305317324185253</v>
      </c>
      <c r="C412" s="550">
        <v>22.806683184041674</v>
      </c>
      <c r="D412" s="391">
        <f t="shared" si="12"/>
        <v>57.112000508226927</v>
      </c>
      <c r="E412" s="413">
        <f t="shared" si="13"/>
        <v>0.60066740823136822</v>
      </c>
      <c r="F412" s="238" t="e">
        <f>IF($A412=Cover!$C$5,0,IF($A412="Scotland",0,NA()))</f>
        <v>#N/A</v>
      </c>
      <c r="G412" s="238">
        <f>IF($A412=Cover!$C$5,NA(),IF($A412="Scotland",NA(),0))</f>
        <v>0</v>
      </c>
      <c r="H412" s="238"/>
      <c r="I412" s="238"/>
      <c r="L412" s="18"/>
      <c r="M412" s="18" t="s">
        <v>5</v>
      </c>
      <c r="N412" s="90">
        <v>31.24777336380318</v>
      </c>
      <c r="O412">
        <v>17.7</v>
      </c>
      <c r="P412" s="391">
        <f t="shared" si="14"/>
        <v>48.947773363803179</v>
      </c>
      <c r="Q412" s="413">
        <f t="shared" si="15"/>
        <v>0.6383900883816479</v>
      </c>
      <c r="R412" s="90"/>
    </row>
    <row r="413" spans="1:18">
      <c r="A413" s="417" t="s">
        <v>52</v>
      </c>
      <c r="B413" s="542">
        <v>21.199915200339198</v>
      </c>
      <c r="C413" s="542">
        <v>14.839940640237439</v>
      </c>
      <c r="D413" s="391">
        <f t="shared" si="12"/>
        <v>36.039855840576635</v>
      </c>
      <c r="E413" s="413">
        <f t="shared" si="13"/>
        <v>0.58823529411764708</v>
      </c>
      <c r="F413" s="238" t="e">
        <f>IF($A413=Cover!$C$5,0,IF($A413="Scotland",0,NA()))</f>
        <v>#N/A</v>
      </c>
      <c r="G413" s="238">
        <f>IF($A413=Cover!$C$5,NA(),IF($A413="Scotland",NA(),0))</f>
        <v>0</v>
      </c>
      <c r="H413" s="238"/>
      <c r="I413" s="238"/>
      <c r="L413" s="18"/>
      <c r="M413" s="18" t="s">
        <v>58</v>
      </c>
      <c r="N413" s="90">
        <v>29.336203305096515</v>
      </c>
      <c r="O413">
        <v>17</v>
      </c>
      <c r="P413" s="391">
        <f t="shared" si="14"/>
        <v>46.336203305096518</v>
      </c>
      <c r="Q413" s="413">
        <f t="shared" si="15"/>
        <v>0.63311625063311616</v>
      </c>
      <c r="R413" s="90"/>
    </row>
    <row r="414" spans="1:18">
      <c r="A414" s="91" t="s">
        <v>40</v>
      </c>
      <c r="B414" s="550">
        <v>29.236766516208451</v>
      </c>
      <c r="C414" s="550">
        <v>20.876077144029544</v>
      </c>
      <c r="D414" s="391">
        <f t="shared" si="12"/>
        <v>50.112843660237999</v>
      </c>
      <c r="E414" s="413">
        <f t="shared" si="13"/>
        <v>0.58341862845445236</v>
      </c>
      <c r="F414" s="238" t="e">
        <f>IF($A414=Cover!$C$5,0,IF($A414="Scotland",0,NA()))</f>
        <v>#N/A</v>
      </c>
      <c r="G414" s="238">
        <f>IF($A414=Cover!$C$5,NA(),IF($A414="Scotland",NA(),0))</f>
        <v>0</v>
      </c>
      <c r="H414" s="238"/>
      <c r="I414" s="238"/>
      <c r="L414" s="18"/>
      <c r="M414" s="18" t="s">
        <v>140</v>
      </c>
      <c r="N414" s="90">
        <v>35.090571610508199</v>
      </c>
      <c r="O414">
        <v>21</v>
      </c>
      <c r="P414" s="391">
        <f t="shared" si="14"/>
        <v>56.090571610508199</v>
      </c>
      <c r="Q414" s="413">
        <f t="shared" si="15"/>
        <v>0.62560552697120686</v>
      </c>
      <c r="R414" s="90"/>
    </row>
    <row r="415" spans="1:18">
      <c r="A415" s="91" t="s">
        <v>50</v>
      </c>
      <c r="B415" s="550">
        <v>32.292032292032296</v>
      </c>
      <c r="C415" s="550">
        <v>23.376623376623378</v>
      </c>
      <c r="D415" s="391">
        <f t="shared" si="12"/>
        <v>55.668655668655674</v>
      </c>
      <c r="E415" s="413">
        <f t="shared" si="13"/>
        <v>0.5800756620428752</v>
      </c>
      <c r="F415" s="238" t="e">
        <f>IF($A415=Cover!$C$5,0,IF($A415="Scotland",0,NA()))</f>
        <v>#N/A</v>
      </c>
      <c r="G415" s="238">
        <f>IF($A415=Cover!$C$5,NA(),IF($A415="Scotland",NA(),0))</f>
        <v>0</v>
      </c>
      <c r="H415" s="238"/>
      <c r="I415" s="238"/>
      <c r="L415" s="18"/>
      <c r="M415" s="18" t="s">
        <v>60</v>
      </c>
      <c r="N415" s="90">
        <v>34.305317324185253</v>
      </c>
      <c r="O415">
        <v>22.2</v>
      </c>
      <c r="P415" s="391">
        <f t="shared" si="14"/>
        <v>56.505317324185256</v>
      </c>
      <c r="Q415" s="413">
        <f t="shared" si="15"/>
        <v>0.60711662103173403</v>
      </c>
      <c r="R415" s="90"/>
    </row>
    <row r="416" spans="1:18">
      <c r="A416" s="91" t="s">
        <v>61</v>
      </c>
      <c r="B416" s="550">
        <v>25.064504238849985</v>
      </c>
      <c r="C416" s="550">
        <v>18.356063398451898</v>
      </c>
      <c r="D416" s="391">
        <f t="shared" si="12"/>
        <v>43.420567637301886</v>
      </c>
      <c r="E416" s="413">
        <f t="shared" si="13"/>
        <v>0.57724957555178269</v>
      </c>
      <c r="F416" s="238" t="e">
        <f>IF($A416=Cover!$C$5,0,IF($A416="Scotland",0,NA()))</f>
        <v>#N/A</v>
      </c>
      <c r="G416" s="238">
        <f>IF($A416=Cover!$C$5,NA(),IF($A416="Scotland",NA(),0))</f>
        <v>0</v>
      </c>
      <c r="H416" s="238"/>
      <c r="I416" s="238"/>
      <c r="L416" s="18"/>
      <c r="M416" s="18" t="s">
        <v>40</v>
      </c>
      <c r="N416" s="90">
        <v>29.236766516208451</v>
      </c>
      <c r="O416">
        <v>20</v>
      </c>
      <c r="P416" s="391">
        <f t="shared" si="14"/>
        <v>49.236766516208448</v>
      </c>
      <c r="Q416" s="413">
        <f t="shared" si="15"/>
        <v>0.59379948329027421</v>
      </c>
      <c r="R416" s="90"/>
    </row>
    <row r="417" spans="1:18">
      <c r="A417" s="91" t="s">
        <v>45</v>
      </c>
      <c r="B417" s="550">
        <v>42.737600708701954</v>
      </c>
      <c r="C417" s="550">
        <v>31.340907186381433</v>
      </c>
      <c r="D417" s="391">
        <f t="shared" si="12"/>
        <v>74.078507895083391</v>
      </c>
      <c r="E417" s="413">
        <f t="shared" si="13"/>
        <v>0.57692307692307687</v>
      </c>
      <c r="F417" s="238" t="e">
        <f>IF($A417=Cover!$C$5,0,IF($A417="Scotland",0,NA()))</f>
        <v>#N/A</v>
      </c>
      <c r="G417" s="238">
        <f>IF($A417=Cover!$C$5,NA(),IF($A417="Scotland",NA(),0))</f>
        <v>0</v>
      </c>
      <c r="H417" s="238"/>
      <c r="I417" s="238"/>
      <c r="L417" s="18"/>
      <c r="M417" s="18" t="s">
        <v>50</v>
      </c>
      <c r="N417" s="90">
        <v>32.292032292032296</v>
      </c>
      <c r="O417">
        <v>22.8</v>
      </c>
      <c r="P417" s="391">
        <f t="shared" si="14"/>
        <v>55.0920322920323</v>
      </c>
      <c r="Q417" s="413">
        <f t="shared" si="15"/>
        <v>0.58614705155290736</v>
      </c>
      <c r="R417" s="90"/>
    </row>
    <row r="418" spans="1:18">
      <c r="A418" s="91" t="s">
        <v>59</v>
      </c>
      <c r="B418" s="550">
        <v>26.072529035316428</v>
      </c>
      <c r="C418" s="550">
        <v>19.198862289642097</v>
      </c>
      <c r="D418" s="391">
        <f t="shared" si="12"/>
        <v>45.271391324958529</v>
      </c>
      <c r="E418" s="413">
        <f t="shared" si="13"/>
        <v>0.57591623036649209</v>
      </c>
      <c r="F418" s="238" t="e">
        <f>IF($A418=Cover!$C$5,0,IF($A418="Scotland",0,NA()))</f>
        <v>#N/A</v>
      </c>
      <c r="G418" s="238">
        <f>IF($A418=Cover!$C$5,NA(),IF($A418="Scotland",NA(),0))</f>
        <v>0</v>
      </c>
      <c r="H418" s="238"/>
      <c r="I418" s="238"/>
      <c r="L418" s="18"/>
      <c r="M418" s="18" t="s">
        <v>45</v>
      </c>
      <c r="N418" s="90">
        <v>42.737600708701954</v>
      </c>
      <c r="O418">
        <v>30.8</v>
      </c>
      <c r="P418" s="391">
        <f t="shared" si="14"/>
        <v>73.537600708701959</v>
      </c>
      <c r="Q418" s="413">
        <f t="shared" si="15"/>
        <v>0.58116664531923823</v>
      </c>
      <c r="R418" s="90"/>
    </row>
    <row r="419" spans="1:18">
      <c r="A419" s="91" t="s">
        <v>49</v>
      </c>
      <c r="B419" s="550">
        <v>25.789473684210524</v>
      </c>
      <c r="C419" s="550">
        <v>19.684210526315791</v>
      </c>
      <c r="D419" s="391">
        <f t="shared" si="12"/>
        <v>45.473684210526315</v>
      </c>
      <c r="E419" s="413">
        <f t="shared" si="13"/>
        <v>0.56712962962962954</v>
      </c>
      <c r="F419" s="238" t="e">
        <f>IF($A419=Cover!$C$5,0,IF($A419="Scotland",0,NA()))</f>
        <v>#N/A</v>
      </c>
      <c r="G419" s="238">
        <f>IF($A419=Cover!$C$5,NA(),IF($A419="Scotland",NA(),0))</f>
        <v>0</v>
      </c>
      <c r="H419" s="238"/>
      <c r="I419" s="238"/>
      <c r="L419" s="18"/>
      <c r="M419" s="18" t="s">
        <v>61</v>
      </c>
      <c r="N419" s="90">
        <v>25.064504238849985</v>
      </c>
      <c r="O419">
        <v>18.100000000000001</v>
      </c>
      <c r="P419" s="391">
        <f t="shared" si="14"/>
        <v>43.164504238849986</v>
      </c>
      <c r="Q419" s="413">
        <f t="shared" si="15"/>
        <v>0.58067397461942372</v>
      </c>
      <c r="R419" s="90"/>
    </row>
    <row r="420" spans="1:18">
      <c r="A420" s="91" t="s">
        <v>56</v>
      </c>
      <c r="B420" s="550">
        <v>23.629489603024574</v>
      </c>
      <c r="C420" s="550">
        <v>18.431001890359166</v>
      </c>
      <c r="D420" s="391">
        <f t="shared" si="12"/>
        <v>42.060491493383736</v>
      </c>
      <c r="E420" s="413">
        <f t="shared" si="13"/>
        <v>0.5617977528089888</v>
      </c>
      <c r="F420" s="238" t="e">
        <f>IF($A420=Cover!$C$5,0,IF($A420="Scotland",0,NA()))</f>
        <v>#N/A</v>
      </c>
      <c r="G420" s="238">
        <f>IF($A420=Cover!$C$5,NA(),IF($A420="Scotland",NA(),0))</f>
        <v>0</v>
      </c>
      <c r="H420" s="238"/>
      <c r="I420" s="238"/>
      <c r="L420" s="18"/>
      <c r="M420" s="18" t="s">
        <v>59</v>
      </c>
      <c r="N420" s="90">
        <v>26.072529035316428</v>
      </c>
      <c r="O420">
        <v>19</v>
      </c>
      <c r="P420" s="391">
        <f t="shared" si="14"/>
        <v>45.072529035316428</v>
      </c>
      <c r="Q420" s="413">
        <f t="shared" si="15"/>
        <v>0.57845720205510065</v>
      </c>
      <c r="R420" s="90"/>
    </row>
    <row r="421" spans="1:18">
      <c r="A421" s="417" t="s">
        <v>42</v>
      </c>
      <c r="B421" s="542">
        <v>27.924294135898233</v>
      </c>
      <c r="C421" s="542">
        <v>21.874030406453613</v>
      </c>
      <c r="D421" s="391">
        <f t="shared" si="12"/>
        <v>49.79832454235185</v>
      </c>
      <c r="E421" s="413">
        <f t="shared" si="13"/>
        <v>0.56074766355140182</v>
      </c>
      <c r="F421" s="238" t="e">
        <f>IF($A421=Cover!$C$5,0,IF($A421="Scotland",0,NA()))</f>
        <v>#N/A</v>
      </c>
      <c r="G421" s="238">
        <f>IF($A421=Cover!$C$5,NA(),IF($A421="Scotland",NA(),0))</f>
        <v>0</v>
      </c>
      <c r="H421" s="238"/>
      <c r="I421" s="238"/>
      <c r="L421" s="18"/>
      <c r="M421" s="18" t="s">
        <v>49</v>
      </c>
      <c r="N421" s="90">
        <v>25.789473684210524</v>
      </c>
      <c r="O421">
        <v>18.899999999999999</v>
      </c>
      <c r="P421" s="391">
        <f t="shared" si="14"/>
        <v>44.689473684210526</v>
      </c>
      <c r="Q421" s="413">
        <f t="shared" si="15"/>
        <v>0.57708161582852424</v>
      </c>
      <c r="R421" s="90"/>
    </row>
    <row r="422" spans="1:18">
      <c r="A422" s="91" t="s">
        <v>35</v>
      </c>
      <c r="B422" s="550">
        <v>21.438525029477972</v>
      </c>
      <c r="C422" s="550">
        <v>19.723443027119735</v>
      </c>
      <c r="D422" s="391">
        <f t="shared" si="12"/>
        <v>41.161968056597708</v>
      </c>
      <c r="E422" s="413">
        <f t="shared" si="13"/>
        <v>0.52083333333333337</v>
      </c>
      <c r="F422" s="238" t="e">
        <f>IF($A422=Cover!$C$5,0,IF($A422="Scotland",0,NA()))</f>
        <v>#N/A</v>
      </c>
      <c r="G422" s="238">
        <f>IF($A422=Cover!$C$5,NA(),IF($A422="Scotland",NA(),0))</f>
        <v>0</v>
      </c>
      <c r="H422" s="238"/>
      <c r="I422" s="238"/>
      <c r="L422" s="18"/>
      <c r="M422" s="18" t="s">
        <v>42</v>
      </c>
      <c r="N422" s="90">
        <v>27.924294135898233</v>
      </c>
      <c r="O422">
        <v>21.7</v>
      </c>
      <c r="P422" s="391">
        <f t="shared" si="14"/>
        <v>49.624294135898232</v>
      </c>
      <c r="Q422" s="413">
        <f t="shared" si="15"/>
        <v>0.56271418308593713</v>
      </c>
      <c r="R422" s="90"/>
    </row>
    <row r="423" spans="1:18">
      <c r="A423" s="91" t="s">
        <v>39</v>
      </c>
      <c r="B423" s="550">
        <v>28.288543140028288</v>
      </c>
      <c r="C423" s="550">
        <v>28.376944837340879</v>
      </c>
      <c r="D423" s="391">
        <f t="shared" si="12"/>
        <v>56.665487977369168</v>
      </c>
      <c r="E423" s="413">
        <f t="shared" si="13"/>
        <v>0.49921996879875191</v>
      </c>
      <c r="F423" s="238" t="e">
        <f>IF($A423=Cover!$C$5,0,IF($A423="Scotland",0,NA()))</f>
        <v>#N/A</v>
      </c>
      <c r="G423" s="238">
        <f>IF($A423=Cover!$C$5,NA(),IF($A423="Scotland",NA(),0))</f>
        <v>0</v>
      </c>
      <c r="H423" s="238"/>
      <c r="I423" s="238"/>
      <c r="L423" s="18"/>
      <c r="M423" s="18" t="s">
        <v>35</v>
      </c>
      <c r="N423" s="90">
        <v>21.438525029477972</v>
      </c>
      <c r="O423">
        <v>19.3</v>
      </c>
      <c r="P423" s="391">
        <f t="shared" si="14"/>
        <v>40.738525029477969</v>
      </c>
      <c r="Q423" s="413">
        <f t="shared" si="15"/>
        <v>0.52624696191050802</v>
      </c>
      <c r="R423" s="90"/>
    </row>
    <row r="424" spans="1:18">
      <c r="A424" s="91" t="s">
        <v>34</v>
      </c>
      <c r="B424" s="550">
        <v>24.156877605153465</v>
      </c>
      <c r="C424" s="550">
        <v>24.29897688518378</v>
      </c>
      <c r="D424" s="391">
        <f t="shared" si="12"/>
        <v>48.455854490337245</v>
      </c>
      <c r="E424" s="413">
        <f t="shared" si="13"/>
        <v>0.49853372434017595</v>
      </c>
      <c r="F424" s="238" t="e">
        <f>IF($A424=Cover!$C$5,0,IF($A424="Scotland",0,NA()))</f>
        <v>#N/A</v>
      </c>
      <c r="G424" s="238">
        <f>IF($A424=Cover!$C$5,NA(),IF($A424="Scotland",NA(),0))</f>
        <v>0</v>
      </c>
      <c r="H424" s="238"/>
      <c r="I424" s="238"/>
      <c r="L424" s="18"/>
      <c r="M424" s="18" t="s">
        <v>34</v>
      </c>
      <c r="N424" s="90">
        <v>24.156877605153465</v>
      </c>
      <c r="O424">
        <v>23.7</v>
      </c>
      <c r="P424" s="391">
        <f t="shared" si="14"/>
        <v>47.856877605153464</v>
      </c>
      <c r="Q424" s="413">
        <f t="shared" si="15"/>
        <v>0.50477337457034877</v>
      </c>
      <c r="R424" s="90"/>
    </row>
    <row r="425" spans="1:18">
      <c r="A425" s="91" t="s">
        <v>51</v>
      </c>
      <c r="B425" s="550">
        <v>23.54358300481822</v>
      </c>
      <c r="C425" s="550">
        <v>24.985399328369105</v>
      </c>
      <c r="D425" s="391">
        <f t="shared" si="12"/>
        <v>48.528982333187329</v>
      </c>
      <c r="E425" s="413">
        <f t="shared" si="13"/>
        <v>0.48514479127491533</v>
      </c>
      <c r="F425" s="238" t="e">
        <f>IF($A425=Cover!$C$5,0,IF($A425="Scotland",0,NA()))</f>
        <v>#N/A</v>
      </c>
      <c r="G425" s="238">
        <f>IF($A425=Cover!$C$5,NA(),IF($A425="Scotland",NA(),0))</f>
        <v>0</v>
      </c>
      <c r="H425" s="238"/>
      <c r="I425" s="238"/>
      <c r="L425" s="18"/>
      <c r="M425" s="18" t="s">
        <v>39</v>
      </c>
      <c r="N425" s="90">
        <v>28.288543140028288</v>
      </c>
      <c r="O425">
        <v>27.8</v>
      </c>
      <c r="P425" s="391">
        <f t="shared" si="14"/>
        <v>56.088543140028293</v>
      </c>
      <c r="Q425" s="413">
        <f t="shared" si="15"/>
        <v>0.50435510634327418</v>
      </c>
      <c r="R425" s="90"/>
    </row>
    <row r="426" spans="1:18">
      <c r="A426" s="91" t="s">
        <v>36</v>
      </c>
      <c r="B426" s="550">
        <v>25.723472668810288</v>
      </c>
      <c r="C426" s="550">
        <v>27.401090451558787</v>
      </c>
      <c r="D426" s="391">
        <f t="shared" si="12"/>
        <v>53.124563120369075</v>
      </c>
      <c r="E426" s="413">
        <f t="shared" si="13"/>
        <v>0.48421052631578948</v>
      </c>
      <c r="F426" s="238" t="e">
        <f>IF($A426=Cover!$C$5,0,IF($A426="Scotland",0,NA()))</f>
        <v>#N/A</v>
      </c>
      <c r="G426" s="238">
        <f>IF($A426=Cover!$C$5,NA(),IF($A426="Scotland",NA(),0))</f>
        <v>0</v>
      </c>
      <c r="H426" s="238"/>
      <c r="I426" s="238"/>
      <c r="L426" s="18"/>
      <c r="M426" s="18" t="s">
        <v>36</v>
      </c>
      <c r="N426" s="90">
        <v>25.723472668810288</v>
      </c>
      <c r="O426">
        <v>26.6</v>
      </c>
      <c r="P426" s="391">
        <f t="shared" si="14"/>
        <v>52.32347266881029</v>
      </c>
      <c r="Q426" s="413">
        <f t="shared" si="15"/>
        <v>0.49162395683541654</v>
      </c>
    </row>
    <row r="427" spans="1:18">
      <c r="M427" s="18" t="s">
        <v>51</v>
      </c>
      <c r="N427" s="90">
        <v>23.54358300481822</v>
      </c>
      <c r="O427">
        <v>24.5</v>
      </c>
      <c r="P427" s="391">
        <f t="shared" si="14"/>
        <v>48.043583004818217</v>
      </c>
      <c r="Q427" s="413">
        <f t="shared" si="15"/>
        <v>0.49004636066500434</v>
      </c>
    </row>
    <row r="428" spans="1:18">
      <c r="M428" s="18" t="s">
        <v>52</v>
      </c>
      <c r="N428" s="90">
        <v>21.199915200339198</v>
      </c>
      <c r="O428" t="s">
        <v>384</v>
      </c>
      <c r="P428" s="391" t="e">
        <f t="shared" si="14"/>
        <v>#VALUE!</v>
      </c>
      <c r="Q428" s="413" t="e">
        <f t="shared" si="15"/>
        <v>#VALUE!</v>
      </c>
    </row>
    <row r="429" spans="1:18">
      <c r="B429" t="str">
        <f>B393</f>
        <v>Supported in care homes</v>
      </c>
      <c r="C429" t="str">
        <f>C393</f>
        <v>Intensive Home care (10+ hours per week)</v>
      </c>
      <c r="D429" t="str">
        <f>D393</f>
        <v>Total</v>
      </c>
      <c r="F429" t="s">
        <v>212</v>
      </c>
      <c r="G429" t="s">
        <v>213</v>
      </c>
      <c r="M429" s="18" t="s">
        <v>56</v>
      </c>
      <c r="N429" s="90">
        <v>23.629489603024574</v>
      </c>
      <c r="O429" t="s">
        <v>384</v>
      </c>
      <c r="P429" s="391" t="e">
        <f t="shared" si="14"/>
        <v>#VALUE!</v>
      </c>
      <c r="Q429" s="413" t="e">
        <f t="shared" si="15"/>
        <v>#VALUE!</v>
      </c>
    </row>
    <row r="430" spans="1:18">
      <c r="A430" t="str">
        <f>VLOOKUP(Cover!$C$5,$A$393:$D$426,1,0)</f>
        <v>Aberdeen City</v>
      </c>
      <c r="B430" s="90">
        <f>VLOOKUP(Cover!$C$5,$A$393:$D$426,2,0)</f>
        <v>39.403403286535706</v>
      </c>
      <c r="C430" s="90">
        <f>VLOOKUP(Cover!$C$5,$A$393:$D$426,3,0)</f>
        <v>13.163655468316744</v>
      </c>
      <c r="D430" s="90">
        <f>VLOOKUP(Cover!$C$5,$A$393:$D$426,4,0)</f>
        <v>52.567058754852454</v>
      </c>
      <c r="F430" s="18">
        <f>B430/$D430</f>
        <v>0.74958356468628529</v>
      </c>
      <c r="G430" s="18">
        <f>C430/$D430</f>
        <v>0.2504164353137146</v>
      </c>
      <c r="H430" s="18"/>
      <c r="I430" s="18"/>
    </row>
    <row r="431" spans="1:18">
      <c r="A431" t="s">
        <v>5</v>
      </c>
      <c r="B431" s="90">
        <f>VLOOKUP($A$431,$A$393:$D$426,2,0)</f>
        <v>31.24777336380318</v>
      </c>
      <c r="C431" s="90">
        <f>VLOOKUP($A$431,$A$393:$D$426,3,0)</f>
        <v>17.355628781409123</v>
      </c>
      <c r="D431" s="90">
        <f>VLOOKUP($A$431,$A$393:$D$426,4,0)</f>
        <v>48.6034021452123</v>
      </c>
      <c r="F431" s="18">
        <f>B431/$D431</f>
        <v>0.64291329381519968</v>
      </c>
      <c r="G431" s="18">
        <f>C431/$D431</f>
        <v>0.35708670618480043</v>
      </c>
      <c r="H431" s="18"/>
      <c r="I431" s="18"/>
    </row>
    <row r="432" spans="1:18">
      <c r="A432" t="s">
        <v>259</v>
      </c>
      <c r="B432" s="18">
        <f>1-(MIN(E394:E424))</f>
        <v>0.50146627565982405</v>
      </c>
      <c r="C432" s="90" t="s">
        <v>260</v>
      </c>
      <c r="D432" s="90"/>
      <c r="E432" s="121">
        <f>1-MAX(E394:E424)</f>
        <v>0.20703265159669892</v>
      </c>
    </row>
    <row r="433" spans="1:5">
      <c r="A433" t="s">
        <v>262</v>
      </c>
      <c r="B433" s="121">
        <f>MAX(E394:E424)</f>
        <v>0.79296734840330108</v>
      </c>
      <c r="C433" t="s">
        <v>261</v>
      </c>
      <c r="E433" s="121">
        <f>MIN(E394:E424)</f>
        <v>0.49853372434017595</v>
      </c>
    </row>
    <row r="434" spans="1:5">
      <c r="A434" s="1"/>
    </row>
    <row r="435" spans="1:5">
      <c r="A435" s="85"/>
    </row>
    <row r="436" spans="1:5">
      <c r="A436" s="85"/>
    </row>
  </sheetData>
  <sheetProtection selectLockedCells="1" selectUnlockedCells="1"/>
  <sortState ref="A394:G426">
    <sortCondition descending="1" ref="E394:E426"/>
  </sortState>
  <mergeCells count="8">
    <mergeCell ref="B18:L18"/>
    <mergeCell ref="X187:AE187"/>
    <mergeCell ref="N187:W187"/>
    <mergeCell ref="B187:L187"/>
    <mergeCell ref="F350:L350"/>
    <mergeCell ref="B350:E350"/>
    <mergeCell ref="M269:V269"/>
    <mergeCell ref="B269:L269"/>
  </mergeCells>
  <phoneticPr fontId="5" type="noConversion"/>
  <hyperlinks>
    <hyperlink ref="B224" r:id="rId1" display="http://www.scotland.gov.uk/Resource/0039/00396519.xls"/>
    <hyperlink ref="A58" r:id="rId2"/>
    <hyperlink ref="A139" r:id="rId3"/>
    <hyperlink ref="A306" r:id="rId4"/>
    <hyperlink ref="A386" r:id="rId5"/>
  </hyperlinks>
  <pageMargins left="0.74803149606299213" right="0.74803149606299213" top="0.98425196850393704" bottom="0.98425196850393704" header="0.51181102362204722" footer="0.51181102362204722"/>
  <pageSetup paperSize="9" scale="91" orientation="landscape" r:id="rId6"/>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AL269"/>
  <sheetViews>
    <sheetView topLeftCell="A91" zoomScale="90" zoomScaleNormal="90" workbookViewId="0">
      <selection activeCell="N103" sqref="N103"/>
    </sheetView>
  </sheetViews>
  <sheetFormatPr defaultRowHeight="12.75"/>
  <cols>
    <col min="1" max="1" width="19.85546875" customWidth="1"/>
    <col min="8" max="8" width="9.140625" customWidth="1"/>
    <col min="10" max="10" width="14.42578125" customWidth="1"/>
    <col min="15" max="15" width="9.7109375" customWidth="1"/>
    <col min="17" max="17" width="9.28515625" customWidth="1"/>
  </cols>
  <sheetData>
    <row r="1" spans="1:18">
      <c r="A1" s="88" t="s">
        <v>124</v>
      </c>
    </row>
    <row r="3" spans="1:18">
      <c r="A3" s="16" t="s">
        <v>139</v>
      </c>
    </row>
    <row r="4" spans="1:18">
      <c r="A4" s="16" t="s">
        <v>273</v>
      </c>
    </row>
    <row r="5" spans="1:18">
      <c r="A5" s="414" t="s">
        <v>275</v>
      </c>
    </row>
    <row r="6" spans="1:18">
      <c r="A6" s="16" t="s">
        <v>133</v>
      </c>
    </row>
    <row r="7" spans="1:18">
      <c r="A7" s="16" t="s">
        <v>274</v>
      </c>
    </row>
    <row r="10" spans="1:18">
      <c r="A10" s="1" t="s">
        <v>181</v>
      </c>
    </row>
    <row r="11" spans="1:18">
      <c r="A11" s="1"/>
      <c r="J11" s="482"/>
    </row>
    <row r="12" spans="1:18">
      <c r="A12" s="1"/>
      <c r="B12" s="761" t="s">
        <v>119</v>
      </c>
      <c r="C12" s="762"/>
      <c r="D12" s="762"/>
      <c r="E12" s="762"/>
      <c r="F12" s="762"/>
      <c r="G12" s="762"/>
      <c r="H12" s="763"/>
      <c r="I12" s="764" t="s">
        <v>263</v>
      </c>
      <c r="J12" s="762"/>
      <c r="K12" s="762"/>
      <c r="L12" s="762"/>
      <c r="M12" s="762"/>
      <c r="N12" s="762"/>
      <c r="O12" s="101"/>
    </row>
    <row r="13" spans="1:18">
      <c r="A13" s="91" t="s">
        <v>26</v>
      </c>
      <c r="B13" s="99">
        <v>2007</v>
      </c>
      <c r="C13" s="99">
        <v>2008</v>
      </c>
      <c r="D13" s="99">
        <v>2009</v>
      </c>
      <c r="E13" s="99">
        <v>2010</v>
      </c>
      <c r="F13" s="474">
        <v>2011</v>
      </c>
      <c r="G13" s="474">
        <v>2012</v>
      </c>
      <c r="H13" s="113">
        <v>2013</v>
      </c>
      <c r="I13" s="113">
        <v>2014</v>
      </c>
      <c r="J13" s="113">
        <v>2015</v>
      </c>
      <c r="K13" s="94" t="s">
        <v>1</v>
      </c>
      <c r="L13" s="94" t="s">
        <v>28</v>
      </c>
      <c r="M13" s="94" t="s">
        <v>65</v>
      </c>
      <c r="N13" s="94" t="s">
        <v>267</v>
      </c>
      <c r="O13" s="94" t="s">
        <v>315</v>
      </c>
      <c r="P13" s="94" t="s">
        <v>322</v>
      </c>
      <c r="Q13" s="94" t="s">
        <v>369</v>
      </c>
      <c r="R13" s="94" t="s">
        <v>382</v>
      </c>
    </row>
    <row r="14" spans="1:18">
      <c r="A14" s="91" t="s">
        <v>31</v>
      </c>
      <c r="B14" s="78">
        <v>571</v>
      </c>
      <c r="C14" s="78">
        <v>648</v>
      </c>
      <c r="D14" s="78">
        <v>701</v>
      </c>
      <c r="E14" s="78">
        <v>689</v>
      </c>
      <c r="F14" s="404">
        <v>642</v>
      </c>
      <c r="G14" s="404">
        <v>604</v>
      </c>
      <c r="H14" s="481">
        <v>606</v>
      </c>
      <c r="I14" s="399">
        <v>577</v>
      </c>
      <c r="J14" s="91">
        <v>549</v>
      </c>
      <c r="K14" s="102">
        <f>(C14/'Population Figures'!N5)*1000</f>
        <v>17.284609229127767</v>
      </c>
      <c r="L14" s="93">
        <f>(D14/'Population Figures'!Q5)*1000</f>
        <v>18.568552659461751</v>
      </c>
      <c r="M14" s="93">
        <f>(E14/'Population Figures'!T5)*1000</f>
        <v>18.115846764651749</v>
      </c>
      <c r="N14" s="93">
        <f>(F14/'Population Figures'!W5)*1000</f>
        <v>16.667099353565771</v>
      </c>
      <c r="O14" s="93">
        <f>(G14/'Population Figures'!Z5)*1000</f>
        <v>16.520335877027435</v>
      </c>
      <c r="P14" s="93">
        <f>(H14/'Population Figures'!AC5)*1000</f>
        <v>16.26496322937356</v>
      </c>
      <c r="Q14" s="93">
        <f>(I14/'Population Figures'!AF5)*1000</f>
        <v>15.438540161609676</v>
      </c>
      <c r="R14" s="93">
        <f>(J14/'Population Figures'!AI5)*1000</f>
        <v>14.604948124501197</v>
      </c>
    </row>
    <row r="15" spans="1:18">
      <c r="A15" s="91" t="s">
        <v>32</v>
      </c>
      <c r="B15" s="78">
        <v>402</v>
      </c>
      <c r="C15" s="78">
        <v>399</v>
      </c>
      <c r="D15" s="78">
        <v>454</v>
      </c>
      <c r="E15" s="78">
        <v>491</v>
      </c>
      <c r="F15" s="404">
        <v>492</v>
      </c>
      <c r="G15" s="404">
        <v>450</v>
      </c>
      <c r="H15" s="481">
        <v>425</v>
      </c>
      <c r="I15" s="399">
        <v>403</v>
      </c>
      <c r="J15" s="91">
        <v>411</v>
      </c>
      <c r="K15" s="102">
        <f>(C15/'Population Figures'!N6)*1000</f>
        <v>7.57000834787888</v>
      </c>
      <c r="L15" s="93">
        <f>(D15/'Population Figures'!Q6)*1000</f>
        <v>8.6066350710900466</v>
      </c>
      <c r="M15" s="93">
        <f>(E15/'Population Figures'!T6)*1000</f>
        <v>9.2957213176826965</v>
      </c>
      <c r="N15" s="93">
        <f>(F15/'Population Figures'!W6)*1000</f>
        <v>9.2959981861466954</v>
      </c>
      <c r="O15" s="93">
        <f>(G15/'Population Figures'!Z6)*1000</f>
        <v>8.3165462307564351</v>
      </c>
      <c r="P15" s="93">
        <f>(H15/'Population Figures'!AC6)*1000</f>
        <v>7.873140549452585</v>
      </c>
      <c r="Q15" s="93">
        <f>(I15/'Population Figures'!AF6)*1000</f>
        <v>7.4293931126023161</v>
      </c>
      <c r="R15" s="93">
        <f>(J15/'Population Figures'!AI6)*1000</f>
        <v>7.507123547892161</v>
      </c>
    </row>
    <row r="16" spans="1:18">
      <c r="A16" s="91" t="s">
        <v>33</v>
      </c>
      <c r="B16" s="78">
        <v>283</v>
      </c>
      <c r="C16" s="78">
        <v>285</v>
      </c>
      <c r="D16" s="78">
        <v>261</v>
      </c>
      <c r="E16" s="78">
        <v>274</v>
      </c>
      <c r="F16" s="404">
        <v>250</v>
      </c>
      <c r="G16" s="404">
        <v>258</v>
      </c>
      <c r="H16" s="481">
        <v>253</v>
      </c>
      <c r="I16" s="399">
        <v>272</v>
      </c>
      <c r="J16" s="91">
        <v>261</v>
      </c>
      <c r="K16" s="102">
        <f>(C16/'Population Figures'!N7)*1000</f>
        <v>12.541254125412541</v>
      </c>
      <c r="L16" s="93">
        <f>(D16/'Population Figures'!Q7)*1000</f>
        <v>11.510981741201377</v>
      </c>
      <c r="M16" s="93">
        <f>(E16/'Population Figures'!T7)*1000</f>
        <v>12.224502543053449</v>
      </c>
      <c r="N16" s="93">
        <f>(F16/'Population Figures'!W7)*1000</f>
        <v>11.203728600878373</v>
      </c>
      <c r="O16" s="93">
        <f>(G16/'Population Figures'!Z7)*1000</f>
        <v>11.152416356877323</v>
      </c>
      <c r="P16" s="93">
        <f>(H16/'Population Figures'!AC7)*1000</f>
        <v>11.101360245721809</v>
      </c>
      <c r="Q16" s="93">
        <f>(I16/'Population Figures'!AF7)*1000</f>
        <v>12.038061518034963</v>
      </c>
      <c r="R16" s="93">
        <f>(J16/'Population Figures'!AI7)*1000</f>
        <v>11.594331660077296</v>
      </c>
    </row>
    <row r="17" spans="1:25">
      <c r="A17" s="91" t="s">
        <v>34</v>
      </c>
      <c r="B17" s="78">
        <v>216</v>
      </c>
      <c r="C17" s="78">
        <v>203</v>
      </c>
      <c r="D17" s="78">
        <v>204</v>
      </c>
      <c r="E17" s="78">
        <v>248</v>
      </c>
      <c r="F17" s="404">
        <v>217</v>
      </c>
      <c r="G17" s="404">
        <v>188</v>
      </c>
      <c r="H17" s="481">
        <v>200</v>
      </c>
      <c r="I17" s="399">
        <v>175</v>
      </c>
      <c r="J17" s="91">
        <v>167</v>
      </c>
      <c r="K17" s="102">
        <f>(C17/'Population Figures'!N8)*1000</f>
        <v>11.443066516347237</v>
      </c>
      <c r="L17" s="93">
        <f>(D17/'Population Figures'!Q8)*1000</f>
        <v>11.821289911340324</v>
      </c>
      <c r="M17" s="93">
        <f>(E17/'Population Figures'!T8)*1000</f>
        <v>14.675424581336173</v>
      </c>
      <c r="N17" s="93">
        <f>(F17/'Population Figures'!W8)*1000</f>
        <v>13.122089859103829</v>
      </c>
      <c r="O17" s="93">
        <f>(G17/'Population Figures'!Z8)*1000</f>
        <v>11.350600736581537</v>
      </c>
      <c r="P17" s="93">
        <f>(H17/'Population Figures'!AC8)*1000</f>
        <v>12.380068090374497</v>
      </c>
      <c r="Q17" s="93">
        <f>(I17/'Population Figures'!AF8)*1000</f>
        <v>11.000062857502042</v>
      </c>
      <c r="R17" s="93">
        <f>(J17/'Population Figures'!AI8)*1000</f>
        <v>10.687999999999999</v>
      </c>
    </row>
    <row r="18" spans="1:25">
      <c r="A18" s="91" t="s">
        <v>35</v>
      </c>
      <c r="B18" s="78">
        <v>178</v>
      </c>
      <c r="C18" s="78">
        <v>170</v>
      </c>
      <c r="D18" s="78">
        <v>207</v>
      </c>
      <c r="E18" s="78">
        <v>222</v>
      </c>
      <c r="F18" s="404">
        <v>220</v>
      </c>
      <c r="G18" s="404">
        <v>213</v>
      </c>
      <c r="H18" s="481">
        <v>182</v>
      </c>
      <c r="I18" s="399">
        <v>184</v>
      </c>
      <c r="J18" s="91">
        <v>202</v>
      </c>
      <c r="K18" s="102">
        <f>(C18/'Population Figures'!N9)*1000</f>
        <v>15.587749862461031</v>
      </c>
      <c r="L18" s="93">
        <f>(D18/'Population Figures'!Q9)*1000</f>
        <v>18.802797710963755</v>
      </c>
      <c r="M18" s="93">
        <f>(E18/'Population Figures'!T9)*1000</f>
        <v>20.309212331900103</v>
      </c>
      <c r="N18" s="93">
        <f>(F18/'Population Figures'!W9)*1000</f>
        <v>20.349643881232076</v>
      </c>
      <c r="O18" s="93">
        <f>(G18/'Population Figures'!Z9)*1000</f>
        <v>19.990614734866259</v>
      </c>
      <c r="P18" s="93">
        <f>(H18/'Population Figures'!AC9)*1000</f>
        <v>17.374701670644392</v>
      </c>
      <c r="Q18" s="93">
        <f>(I18/'Population Figures'!AF9)*1000</f>
        <v>17.653266813777222</v>
      </c>
      <c r="R18" s="93">
        <f>(J18/'Population Figures'!AI9)*1000</f>
        <v>19.604037267080745</v>
      </c>
    </row>
    <row r="19" spans="1:25">
      <c r="A19" s="91" t="s">
        <v>36</v>
      </c>
      <c r="B19" s="78">
        <v>415</v>
      </c>
      <c r="C19" s="78">
        <v>460</v>
      </c>
      <c r="D19" s="78">
        <v>439</v>
      </c>
      <c r="E19" s="78">
        <v>391</v>
      </c>
      <c r="F19" s="404">
        <v>411</v>
      </c>
      <c r="G19" s="404">
        <v>390</v>
      </c>
      <c r="H19" s="481">
        <v>372</v>
      </c>
      <c r="I19" s="399">
        <v>387</v>
      </c>
      <c r="J19" s="91">
        <v>409</v>
      </c>
      <c r="K19" s="102">
        <f>(C19/'Population Figures'!N10)*1000</f>
        <v>15.778822076630194</v>
      </c>
      <c r="L19" s="93">
        <f>(D19/'Population Figures'!Q10)*1000</f>
        <v>15.180856214122691</v>
      </c>
      <c r="M19" s="93">
        <f>(E19/'Population Figures'!T10)*1000</f>
        <v>13.691434974437986</v>
      </c>
      <c r="N19" s="93">
        <f>(F19/'Population Figures'!W10)*1000</f>
        <v>14.598799417468831</v>
      </c>
      <c r="O19" s="93">
        <f>(G19/'Population Figures'!Z10)*1000</f>
        <v>13.491541841076556</v>
      </c>
      <c r="P19" s="93">
        <f>(H19/'Population Figures'!AC10)*1000</f>
        <v>13.165811360821094</v>
      </c>
      <c r="Q19" s="93">
        <f>(I19/'Population Figures'!AF10)*1000</f>
        <v>13.952482243934096</v>
      </c>
      <c r="R19" s="93">
        <f>(J19/'Population Figures'!AI10)*1000</f>
        <v>14.962502286445948</v>
      </c>
    </row>
    <row r="20" spans="1:25">
      <c r="A20" s="91" t="s">
        <v>37</v>
      </c>
      <c r="B20" s="78">
        <v>541</v>
      </c>
      <c r="C20" s="78">
        <v>607</v>
      </c>
      <c r="D20" s="78">
        <v>587</v>
      </c>
      <c r="E20" s="78">
        <v>637</v>
      </c>
      <c r="F20" s="404">
        <v>707</v>
      </c>
      <c r="G20" s="404">
        <v>721</v>
      </c>
      <c r="H20" s="481">
        <v>694</v>
      </c>
      <c r="I20" s="399">
        <v>617</v>
      </c>
      <c r="J20" s="91">
        <v>585</v>
      </c>
      <c r="K20" s="102">
        <f>(C20/'Population Figures'!N11)*1000</f>
        <v>22.353980997274803</v>
      </c>
      <c r="L20" s="93">
        <f>(D20/'Population Figures'!Q11)*1000</f>
        <v>21.559481397142545</v>
      </c>
      <c r="M20" s="93">
        <f>(E20/'Population Figures'!T11)*1000</f>
        <v>23.371858374610163</v>
      </c>
      <c r="N20" s="93">
        <f>(F20/'Population Figures'!W11)*1000</f>
        <v>25.909773885000185</v>
      </c>
      <c r="O20" s="93">
        <f>(G20/'Population Figures'!Z11)*1000</f>
        <v>26.848886571832875</v>
      </c>
      <c r="P20" s="93">
        <f>(H20/'Population Figures'!AC11)*1000</f>
        <v>25.619255048174534</v>
      </c>
      <c r="Q20" s="93">
        <f>(I20/'Population Figures'!AF11)*1000</f>
        <v>22.67965447528028</v>
      </c>
      <c r="R20" s="93">
        <f>(J20/'Population Figures'!AI11)*1000</f>
        <v>21.547754981767284</v>
      </c>
    </row>
    <row r="21" spans="1:25">
      <c r="A21" s="91" t="s">
        <v>38</v>
      </c>
      <c r="B21" s="78">
        <v>424</v>
      </c>
      <c r="C21" s="78">
        <v>454</v>
      </c>
      <c r="D21" s="78">
        <v>521</v>
      </c>
      <c r="E21" s="78">
        <v>480</v>
      </c>
      <c r="F21" s="404">
        <v>501</v>
      </c>
      <c r="G21" s="404">
        <v>512</v>
      </c>
      <c r="H21" s="481">
        <v>519</v>
      </c>
      <c r="I21" s="399">
        <v>500</v>
      </c>
      <c r="J21" s="91">
        <v>461</v>
      </c>
      <c r="K21" s="102">
        <f>(C21/'Population Figures'!N12)*1000</f>
        <v>18.143308156496026</v>
      </c>
      <c r="L21" s="93">
        <f>(D21/'Population Figures'!Q12)*1000</f>
        <v>20.990290479835625</v>
      </c>
      <c r="M21" s="93">
        <f>(E21/'Population Figures'!T12)*1000</f>
        <v>19.49792834511333</v>
      </c>
      <c r="N21" s="93">
        <f>(F21/'Population Figures'!W12)*1000</f>
        <v>20.609650746637048</v>
      </c>
      <c r="O21" s="93">
        <f>(G21/'Population Figures'!Z12)*1000</f>
        <v>20.747224248318339</v>
      </c>
      <c r="P21" s="93">
        <f>(H21/'Population Figures'!AC12)*1000</f>
        <v>21.178486901167062</v>
      </c>
      <c r="Q21" s="93">
        <f>(I21/'Population Figures'!AF12)*1000</f>
        <v>20.592232609859561</v>
      </c>
      <c r="R21" s="93">
        <f>(J21/'Population Figures'!AI12)*1000</f>
        <v>19.136571191365714</v>
      </c>
    </row>
    <row r="22" spans="1:25">
      <c r="A22" s="91" t="s">
        <v>39</v>
      </c>
      <c r="B22" s="78">
        <v>97</v>
      </c>
      <c r="C22" s="78">
        <v>104</v>
      </c>
      <c r="D22" s="78">
        <v>129</v>
      </c>
      <c r="E22" s="78">
        <v>135</v>
      </c>
      <c r="F22" s="404">
        <v>145</v>
      </c>
      <c r="G22" s="404">
        <v>162</v>
      </c>
      <c r="H22" s="481">
        <v>154</v>
      </c>
      <c r="I22" s="399">
        <v>154</v>
      </c>
      <c r="J22" s="91">
        <v>173</v>
      </c>
      <c r="K22" s="102">
        <f>(C22/'Population Figures'!N13)*1000</f>
        <v>4.6183223056085971</v>
      </c>
      <c r="L22" s="93">
        <f>(D22/'Population Figures'!Q13)*1000</f>
        <v>5.7964502359020447</v>
      </c>
      <c r="M22" s="93">
        <f>(E22/'Population Figures'!T13)*1000</f>
        <v>6.180186778978209</v>
      </c>
      <c r="N22" s="93">
        <f>(F22/'Population Figures'!W13)*1000</f>
        <v>6.7404239494235778</v>
      </c>
      <c r="O22" s="93">
        <f>(G22/'Population Figures'!Z13)*1000</f>
        <v>7.5520954734045027</v>
      </c>
      <c r="P22" s="93">
        <f>(H22/'Population Figures'!AC13)*1000</f>
        <v>7.2453540343448601</v>
      </c>
      <c r="Q22" s="93">
        <f>(I22/'Population Figures'!AF13)*1000</f>
        <v>7.3378758278934573</v>
      </c>
      <c r="R22" s="93">
        <f>(J22/'Population Figures'!AI13)*1000</f>
        <v>8.2196987694208197</v>
      </c>
    </row>
    <row r="23" spans="1:25">
      <c r="A23" s="91" t="s">
        <v>40</v>
      </c>
      <c r="B23" s="78">
        <v>193</v>
      </c>
      <c r="C23" s="78">
        <v>184</v>
      </c>
      <c r="D23" s="78">
        <v>197</v>
      </c>
      <c r="E23" s="78">
        <v>205</v>
      </c>
      <c r="F23" s="404">
        <v>197</v>
      </c>
      <c r="G23" s="404">
        <v>197</v>
      </c>
      <c r="H23" s="481">
        <v>197</v>
      </c>
      <c r="I23" s="399">
        <v>209</v>
      </c>
      <c r="J23" s="91">
        <v>210</v>
      </c>
      <c r="K23" s="102">
        <f>(C23/'Population Figures'!N14)*1000</f>
        <v>8.663308065351476</v>
      </c>
      <c r="L23" s="93">
        <f>(D23/'Population Figures'!Q14)*1000</f>
        <v>9.1884328358208958</v>
      </c>
      <c r="M23" s="93">
        <f>(E23/'Population Figures'!T14)*1000</f>
        <v>9.5393206142391804</v>
      </c>
      <c r="N23" s="93">
        <f>(F23/'Population Figures'!W14)*1000</f>
        <v>9.2280307288738985</v>
      </c>
      <c r="O23" s="93">
        <f>(G23/'Population Figures'!Z14)*1000</f>
        <v>9.2644845748683213</v>
      </c>
      <c r="P23" s="93">
        <f>(H23/'Population Figures'!AC14)*1000</f>
        <v>9.253170502583373</v>
      </c>
      <c r="Q23" s="93">
        <f>(I23/'Population Figures'!AF14)*1000</f>
        <v>9.8399246704331453</v>
      </c>
      <c r="R23" s="93">
        <f>(J23/'Population Figures'!AI14)*1000</f>
        <v>9.8688848160157914</v>
      </c>
    </row>
    <row r="24" spans="1:25">
      <c r="A24" s="91" t="s">
        <v>41</v>
      </c>
      <c r="B24" s="78">
        <v>100</v>
      </c>
      <c r="C24" s="78">
        <v>133</v>
      </c>
      <c r="D24" s="78">
        <v>159</v>
      </c>
      <c r="E24" s="78">
        <v>150</v>
      </c>
      <c r="F24" s="404">
        <v>153</v>
      </c>
      <c r="G24" s="404">
        <v>171</v>
      </c>
      <c r="H24" s="481">
        <v>186</v>
      </c>
      <c r="I24" s="399">
        <v>175</v>
      </c>
      <c r="J24" s="91">
        <v>146</v>
      </c>
      <c r="K24" s="102">
        <f>(C24/'Population Figures'!N15)*1000</f>
        <v>6.4672988086554826</v>
      </c>
      <c r="L24" s="93">
        <f>(D24/'Population Figures'!Q15)*1000</f>
        <v>7.7975577460644407</v>
      </c>
      <c r="M24" s="93">
        <f>(E24/'Population Figures'!T15)*1000</f>
        <v>7.3906188411509657</v>
      </c>
      <c r="N24" s="93">
        <f>(F24/'Population Figures'!W15)*1000</f>
        <v>7.5626513766002663</v>
      </c>
      <c r="O24" s="93">
        <f>(G24/'Population Figures'!Z15)*1000</f>
        <v>8.3443126921387805</v>
      </c>
      <c r="P24" s="93">
        <f>(H24/'Population Figures'!AC15)*1000</f>
        <v>9.1562469233041259</v>
      </c>
      <c r="Q24" s="93">
        <f>(I24/'Population Figures'!AF15)*1000</f>
        <v>8.5490962383976541</v>
      </c>
      <c r="R24" s="93">
        <f>(J24/'Population Figures'!AI15)*1000</f>
        <v>7.0419138571359667</v>
      </c>
    </row>
    <row r="25" spans="1:25">
      <c r="A25" s="91" t="s">
        <v>140</v>
      </c>
      <c r="B25" s="78">
        <v>1204</v>
      </c>
      <c r="C25" s="78">
        <v>1289</v>
      </c>
      <c r="D25" s="78">
        <v>1328</v>
      </c>
      <c r="E25" s="78">
        <v>1319</v>
      </c>
      <c r="F25" s="404">
        <v>1362</v>
      </c>
      <c r="G25" s="404">
        <v>1395</v>
      </c>
      <c r="H25" s="481">
        <v>1402</v>
      </c>
      <c r="I25" s="399">
        <v>1416</v>
      </c>
      <c r="J25" s="91">
        <v>1419</v>
      </c>
      <c r="K25" s="102">
        <f>(C25/'Population Figures'!N16)*1000</f>
        <v>16.07913579322905</v>
      </c>
      <c r="L25" s="93">
        <f>(D25/'Population Figures'!Q16)*1000</f>
        <v>16.487268302978386</v>
      </c>
      <c r="M25" s="93">
        <f>(E25/'Population Figures'!T16)*1000</f>
        <v>16.211698479615542</v>
      </c>
      <c r="N25" s="93">
        <f>(F25/'Population Figures'!W16)*1000</f>
        <v>16.576804644426321</v>
      </c>
      <c r="O25" s="93">
        <f>(G25/'Population Figures'!Z16)*1000</f>
        <v>17.104182248433649</v>
      </c>
      <c r="P25" s="93">
        <f>(H25/'Population Figures'!AC16)*1000</f>
        <v>16.918268592597958</v>
      </c>
      <c r="Q25" s="93">
        <f>(I25/'Population Figures'!AF16)*1000</f>
        <v>16.889715880626923</v>
      </c>
      <c r="R25" s="93">
        <f>(J25/'Population Figures'!AI16)*1000</f>
        <v>16.778007685486255</v>
      </c>
    </row>
    <row r="26" spans="1:25">
      <c r="A26" s="91" t="s">
        <v>42</v>
      </c>
      <c r="B26" s="78">
        <v>49</v>
      </c>
      <c r="C26" s="78">
        <v>39</v>
      </c>
      <c r="D26" s="78">
        <v>47</v>
      </c>
      <c r="E26" s="78">
        <v>58</v>
      </c>
      <c r="F26" s="404">
        <v>54</v>
      </c>
      <c r="G26" s="404">
        <v>52</v>
      </c>
      <c r="H26" s="481">
        <v>57</v>
      </c>
      <c r="I26" s="399">
        <v>49</v>
      </c>
      <c r="J26" s="91">
        <v>47</v>
      </c>
      <c r="K26" s="102">
        <f>(C26/'Population Figures'!N17)*1000</f>
        <v>7.3515551366635252</v>
      </c>
      <c r="L26" s="93">
        <f>(D26/'Population Figures'!Q17)*1000</f>
        <v>9.0315142198308997</v>
      </c>
      <c r="M26" s="93">
        <f>(E26/'Population Figures'!T17)*1000</f>
        <v>11.235955056179774</v>
      </c>
      <c r="N26" s="93">
        <f>(F26/'Population Figures'!W17)*1000</f>
        <v>10.634107916502559</v>
      </c>
      <c r="O26" s="93">
        <f>(G26/'Population Figures'!Z17)*1000</f>
        <v>9.7560975609756095</v>
      </c>
      <c r="P26" s="93">
        <f>(H26/'Population Figures'!AC17)*1000</f>
        <v>10.90909090909091</v>
      </c>
      <c r="Q26" s="93">
        <f>(I26/'Population Figures'!AF17)*1000</f>
        <v>9.5404984423675998</v>
      </c>
      <c r="R26" s="93">
        <f>(J26/'Population Figures'!AI17)*1000</f>
        <v>9.3346573982125136</v>
      </c>
      <c r="T26" s="90"/>
      <c r="U26" s="90"/>
      <c r="V26" s="90"/>
      <c r="W26" s="90"/>
      <c r="X26" s="90"/>
      <c r="Y26" s="90"/>
    </row>
    <row r="27" spans="1:25">
      <c r="A27" s="91" t="s">
        <v>43</v>
      </c>
      <c r="B27" s="78">
        <v>351</v>
      </c>
      <c r="C27" s="78">
        <v>484</v>
      </c>
      <c r="D27" s="78">
        <v>434</v>
      </c>
      <c r="E27" s="78">
        <v>439</v>
      </c>
      <c r="F27" s="404">
        <v>390</v>
      </c>
      <c r="G27" s="404">
        <v>427</v>
      </c>
      <c r="H27" s="481">
        <v>373</v>
      </c>
      <c r="I27" s="399">
        <v>370</v>
      </c>
      <c r="J27" s="91">
        <v>364</v>
      </c>
      <c r="K27" s="102">
        <f>(C27/'Population Figures'!N18)*1000</f>
        <v>15.057710854618422</v>
      </c>
      <c r="L27" s="93">
        <f>(D27/'Population Figures'!Q18)*1000</f>
        <v>13.462373596376946</v>
      </c>
      <c r="M27" s="93">
        <f>(E27/'Population Figures'!T18)*1000</f>
        <v>13.685391857347716</v>
      </c>
      <c r="N27" s="93">
        <f>(F27/'Population Figures'!W18)*1000</f>
        <v>12.115940228028208</v>
      </c>
      <c r="O27" s="93">
        <f>(G27/'Population Figures'!Z18)*1000</f>
        <v>13.290173986118461</v>
      </c>
      <c r="P27" s="93">
        <f>(H27/'Population Figures'!AC18)*1000</f>
        <v>11.604031856645097</v>
      </c>
      <c r="Q27" s="93">
        <f>(I27/'Population Figures'!AF18)*1000</f>
        <v>11.563945493186649</v>
      </c>
      <c r="R27" s="93">
        <f>(J27/'Population Figures'!AI18)*1000</f>
        <v>11.400294403207115</v>
      </c>
      <c r="T27" s="90"/>
      <c r="U27" s="90"/>
      <c r="V27" s="90"/>
      <c r="W27" s="90"/>
      <c r="X27" s="90"/>
      <c r="Y27" s="90"/>
    </row>
    <row r="28" spans="1:25">
      <c r="A28" s="91" t="s">
        <v>44</v>
      </c>
      <c r="B28" s="78">
        <v>720</v>
      </c>
      <c r="C28" s="78">
        <v>777</v>
      </c>
      <c r="D28" s="78">
        <v>795</v>
      </c>
      <c r="E28" s="78">
        <v>785</v>
      </c>
      <c r="F28" s="404">
        <v>821</v>
      </c>
      <c r="G28" s="404">
        <v>855</v>
      </c>
      <c r="H28" s="481">
        <v>869</v>
      </c>
      <c r="I28" s="399">
        <v>952</v>
      </c>
      <c r="J28" s="91">
        <v>1023</v>
      </c>
      <c r="K28" s="102">
        <f>(C28/'Population Figures'!N19)*1000</f>
        <v>10.460138391534961</v>
      </c>
      <c r="L28" s="93">
        <f>(D28/'Population Figures'!Q19)*1000</f>
        <v>10.71024411273374</v>
      </c>
      <c r="M28" s="93">
        <f>(E28/'Population Figures'!T19)*1000</f>
        <v>10.606388153272443</v>
      </c>
      <c r="N28" s="93">
        <f>(F28/'Population Figures'!W19)*1000</f>
        <v>11.132203389830508</v>
      </c>
      <c r="O28" s="93">
        <f>(G28/'Population Figures'!Z19)*1000</f>
        <v>11.667735640497277</v>
      </c>
      <c r="P28" s="93">
        <f>(H28/'Population Figures'!AC19)*1000</f>
        <v>11.88847542957207</v>
      </c>
      <c r="Q28" s="93">
        <f>(I28/'Population Figures'!AF19)*1000</f>
        <v>13.067409715454408</v>
      </c>
      <c r="R28" s="93">
        <f>(J28/'Population Figures'!AI19)*1000</f>
        <v>14.10081462184179</v>
      </c>
    </row>
    <row r="29" spans="1:25">
      <c r="A29" s="91" t="s">
        <v>45</v>
      </c>
      <c r="B29" s="78">
        <v>2844</v>
      </c>
      <c r="C29" s="78">
        <v>2965</v>
      </c>
      <c r="D29" s="78">
        <v>3180</v>
      </c>
      <c r="E29" s="78">
        <v>3452</v>
      </c>
      <c r="F29" s="404">
        <v>3741</v>
      </c>
      <c r="G29" s="404">
        <v>3651</v>
      </c>
      <c r="H29" s="481">
        <v>3583</v>
      </c>
      <c r="I29" s="399">
        <v>3504</v>
      </c>
      <c r="J29" s="91">
        <v>3410</v>
      </c>
      <c r="K29" s="102">
        <f>(C29/'Population Figures'!N20)*1000</f>
        <v>26.805652240735551</v>
      </c>
      <c r="L29" s="93">
        <f>(D29/'Population Figures'!Q20)*1000</f>
        <v>28.847723932724932</v>
      </c>
      <c r="M29" s="93">
        <f>(E29/'Population Figures'!T20)*1000</f>
        <v>31.26839917028234</v>
      </c>
      <c r="N29" s="93">
        <f>(F29/'Population Figures'!W20)*1000</f>
        <v>33.970796556608917</v>
      </c>
      <c r="O29" s="93">
        <f>(G29/'Population Figures'!Z20)*1000</f>
        <v>33.682986908748717</v>
      </c>
      <c r="P29" s="93">
        <f>(H29/'Population Figures'!AC20)*1000</f>
        <v>32.955611559757919</v>
      </c>
      <c r="Q29" s="93">
        <f>(I29/'Population Figures'!AF20)*1000</f>
        <v>32.108200236413111</v>
      </c>
      <c r="R29" s="93">
        <f>(J29/'Population Figures'!AI20)*1000</f>
        <v>31.213957490434431</v>
      </c>
      <c r="T29" s="90"/>
      <c r="U29" s="90"/>
      <c r="V29" s="90"/>
      <c r="W29" s="90"/>
    </row>
    <row r="30" spans="1:25">
      <c r="A30" s="91" t="s">
        <v>46</v>
      </c>
      <c r="B30" s="78">
        <v>501</v>
      </c>
      <c r="C30" s="78">
        <v>461</v>
      </c>
      <c r="D30" s="78">
        <v>456</v>
      </c>
      <c r="E30" s="78">
        <v>464</v>
      </c>
      <c r="F30" s="404">
        <v>496</v>
      </c>
      <c r="G30" s="404">
        <v>507</v>
      </c>
      <c r="H30" s="481">
        <v>462</v>
      </c>
      <c r="I30" s="399">
        <v>447</v>
      </c>
      <c r="J30" s="91">
        <v>437</v>
      </c>
      <c r="K30" s="102">
        <f>(C30/'Population Figures'!N21)*1000</f>
        <v>10.310200612797173</v>
      </c>
      <c r="L30" s="93">
        <f>(D30/'Population Figures'!Q21)*1000</f>
        <v>10.190855048495955</v>
      </c>
      <c r="M30" s="93">
        <f>(E30/'Population Figures'!T21)*1000</f>
        <v>10.396594219135112</v>
      </c>
      <c r="N30" s="93">
        <f>(F30/'Population Figures'!W21)*1000</f>
        <v>11.180488244708428</v>
      </c>
      <c r="O30" s="93">
        <f>(G30/'Population Figures'!Z21)*1000</f>
        <v>10.756338177575051</v>
      </c>
      <c r="P30" s="93">
        <f>(H30/'Population Figures'!AC21)*1000</f>
        <v>9.9523922362723773</v>
      </c>
      <c r="Q30" s="93">
        <f>(I30/'Population Figures'!AF21)*1000</f>
        <v>9.7269067566097274</v>
      </c>
      <c r="R30" s="93">
        <f>(J30/'Population Figures'!AI21)*1000</f>
        <v>9.6077741623428015</v>
      </c>
    </row>
    <row r="31" spans="1:25">
      <c r="A31" s="91" t="s">
        <v>47</v>
      </c>
      <c r="B31" s="78">
        <v>265</v>
      </c>
      <c r="C31" s="78">
        <v>284</v>
      </c>
      <c r="D31" s="78">
        <v>316</v>
      </c>
      <c r="E31" s="78">
        <v>292</v>
      </c>
      <c r="F31" s="404">
        <v>280</v>
      </c>
      <c r="G31" s="404">
        <v>299</v>
      </c>
      <c r="H31" s="481">
        <v>273</v>
      </c>
      <c r="I31" s="399">
        <v>237</v>
      </c>
      <c r="J31" s="91">
        <v>209</v>
      </c>
      <c r="K31" s="102">
        <f>(C31/'Population Figures'!N22)*1000</f>
        <v>17.118746232670283</v>
      </c>
      <c r="L31" s="93">
        <f>(D31/'Population Figures'!Q22)*1000</f>
        <v>19.34022890017749</v>
      </c>
      <c r="M31" s="93">
        <f>(E31/'Population Figures'!T22)*1000</f>
        <v>18.211300985406012</v>
      </c>
      <c r="N31" s="93">
        <f>(F31/'Population Figures'!W22)*1000</f>
        <v>17.791333079171434</v>
      </c>
      <c r="O31" s="93">
        <f>(G31/'Population Figures'!Z22)*1000</f>
        <v>19.093231162196677</v>
      </c>
      <c r="P31" s="93">
        <f>(H31/'Population Figures'!AC22)*1000</f>
        <v>17.746863420659167</v>
      </c>
      <c r="Q31" s="93">
        <f>(I31/'Population Figures'!AF22)*1000</f>
        <v>15.570593259312792</v>
      </c>
      <c r="R31" s="93">
        <f>(J31/'Population Figures'!AI22)*1000</f>
        <v>13.950073421439061</v>
      </c>
    </row>
    <row r="32" spans="1:25">
      <c r="A32" s="91" t="s">
        <v>48</v>
      </c>
      <c r="B32" s="78">
        <v>292</v>
      </c>
      <c r="C32" s="78">
        <v>311</v>
      </c>
      <c r="D32" s="78">
        <v>350</v>
      </c>
      <c r="E32" s="78">
        <v>307</v>
      </c>
      <c r="F32" s="404">
        <v>294</v>
      </c>
      <c r="G32" s="404">
        <v>273</v>
      </c>
      <c r="H32" s="481">
        <v>295</v>
      </c>
      <c r="I32" s="399">
        <v>309</v>
      </c>
      <c r="J32" s="91">
        <v>255</v>
      </c>
      <c r="K32" s="102">
        <f>(C32/'Population Figures'!N23)*1000</f>
        <v>17.629386089223967</v>
      </c>
      <c r="L32" s="93">
        <f>(D32/'Population Figures'!Q23)*1000</f>
        <v>19.794140934283451</v>
      </c>
      <c r="M32" s="93">
        <f>(E32/'Population Figures'!T23)*1000</f>
        <v>17.407575413926061</v>
      </c>
      <c r="N32" s="93">
        <f>(F32/'Population Figures'!W23)*1000</f>
        <v>16.815374056280028</v>
      </c>
      <c r="O32" s="93">
        <f>(G32/'Population Figures'!Z23)*1000</f>
        <v>15.359513896703049</v>
      </c>
      <c r="P32" s="93">
        <f>(H32/'Population Figures'!AC23)*1000</f>
        <v>16.441868242113475</v>
      </c>
      <c r="Q32" s="93">
        <f>(I32/'Population Figures'!AF23)*1000</f>
        <v>17.11058198128357</v>
      </c>
      <c r="R32" s="93">
        <f>(J32/'Population Figures'!AI23)*1000</f>
        <v>13.845903241570287</v>
      </c>
    </row>
    <row r="33" spans="1:21">
      <c r="A33" s="91" t="s">
        <v>49</v>
      </c>
      <c r="B33" s="78">
        <v>182</v>
      </c>
      <c r="C33" s="78">
        <v>171</v>
      </c>
      <c r="D33" s="78">
        <v>208</v>
      </c>
      <c r="E33" s="78">
        <v>191</v>
      </c>
      <c r="F33" s="404">
        <v>206</v>
      </c>
      <c r="G33" s="404">
        <v>218</v>
      </c>
      <c r="H33" s="481">
        <v>221</v>
      </c>
      <c r="I33" s="399">
        <v>213</v>
      </c>
      <c r="J33" s="91">
        <v>209</v>
      </c>
      <c r="K33" s="102">
        <f>(C33/'Population Figures'!N24)*1000</f>
        <v>9.4147442603094209</v>
      </c>
      <c r="L33" s="93">
        <f>(D33/'Population Figures'!Q24)*1000</f>
        <v>11.515252172950229</v>
      </c>
      <c r="M33" s="93">
        <f>(E33/'Population Figures'!T24)*1000</f>
        <v>10.60875361030882</v>
      </c>
      <c r="N33" s="93">
        <f>(F33/'Population Figures'!W24)*1000</f>
        <v>11.597140122727017</v>
      </c>
      <c r="O33" s="93">
        <f>(G33/'Population Figures'!Z24)*1000</f>
        <v>11.196137846027426</v>
      </c>
      <c r="P33" s="93">
        <f>(H33/'Population Figures'!AC24)*1000</f>
        <v>11.541675370795906</v>
      </c>
      <c r="Q33" s="93">
        <f>(I33/'Population Figures'!AF24)*1000</f>
        <v>11.143081349725346</v>
      </c>
      <c r="R33" s="93">
        <f>(J33/'Population Figures'!AI24)*1000</f>
        <v>10.97285661784008</v>
      </c>
    </row>
    <row r="34" spans="1:21">
      <c r="A34" s="91" t="s">
        <v>50</v>
      </c>
      <c r="B34" s="78">
        <v>467</v>
      </c>
      <c r="C34" s="78">
        <v>495</v>
      </c>
      <c r="D34" s="78">
        <v>499</v>
      </c>
      <c r="E34" s="78">
        <v>526</v>
      </c>
      <c r="F34" s="404">
        <v>580</v>
      </c>
      <c r="G34" s="404">
        <v>577</v>
      </c>
      <c r="H34" s="481">
        <v>581</v>
      </c>
      <c r="I34" s="399">
        <v>601</v>
      </c>
      <c r="J34" s="91">
        <v>639</v>
      </c>
      <c r="K34" s="102">
        <f>(C34/'Population Figures'!N25)*1000</f>
        <v>17.271458478715981</v>
      </c>
      <c r="L34" s="93">
        <f>(D34/'Population Figures'!Q25)*1000</f>
        <v>17.483620055358958</v>
      </c>
      <c r="M34" s="93">
        <f>(E34/'Population Figures'!T25)*1000</f>
        <v>18.71220206332266</v>
      </c>
      <c r="N34" s="93">
        <f>(F34/'Population Figures'!W25)*1000</f>
        <v>20.939384093288567</v>
      </c>
      <c r="O34" s="93">
        <f>(G34/'Population Figures'!Z25)*1000</f>
        <v>20.547701292689005</v>
      </c>
      <c r="P34" s="93">
        <f>(H34/'Population Figures'!AC25)*1000</f>
        <v>20.980031054779186</v>
      </c>
      <c r="Q34" s="93">
        <f>(I34/'Population Figures'!AF25)*1000</f>
        <v>22.161584129208304</v>
      </c>
      <c r="R34" s="93">
        <f>(J34/'Population Figures'!AI25)*1000</f>
        <v>23.892316320807627</v>
      </c>
    </row>
    <row r="35" spans="1:21">
      <c r="A35" s="91" t="s">
        <v>51</v>
      </c>
      <c r="B35" s="78">
        <v>702</v>
      </c>
      <c r="C35" s="78">
        <v>778</v>
      </c>
      <c r="D35" s="78">
        <v>728</v>
      </c>
      <c r="E35" s="78">
        <v>800</v>
      </c>
      <c r="F35" s="404">
        <v>732</v>
      </c>
      <c r="G35" s="404">
        <v>729</v>
      </c>
      <c r="H35" s="481">
        <v>743</v>
      </c>
      <c r="I35" s="399">
        <v>706</v>
      </c>
      <c r="J35" s="91">
        <v>697</v>
      </c>
      <c r="K35" s="102">
        <f>(C35/'Population Figures'!N26)*1000</f>
        <v>10.810510372809759</v>
      </c>
      <c r="L35" s="93">
        <f>(D35/'Population Figures'!Q26)*1000</f>
        <v>10.115325830207031</v>
      </c>
      <c r="M35" s="93">
        <f>(E35/'Population Figures'!T26)*1000</f>
        <v>11.145786892554614</v>
      </c>
      <c r="N35" s="93">
        <f>(F35/'Population Figures'!W26)*1000</f>
        <v>10.269648418866971</v>
      </c>
      <c r="O35" s="93">
        <f>(G35/'Population Figures'!Z26)*1000</f>
        <v>9.967731349814045</v>
      </c>
      <c r="P35" s="93">
        <f>(H35/'Population Figures'!AC26)*1000</f>
        <v>10.209549982823772</v>
      </c>
      <c r="Q35" s="93">
        <f>(I35/'Population Figures'!AF26)*1000</f>
        <v>9.7434411184255918</v>
      </c>
      <c r="R35" s="93">
        <f>(J35/'Population Figures'!AI26)*1000</f>
        <v>9.6765236706927666</v>
      </c>
    </row>
    <row r="36" spans="1:21">
      <c r="A36" s="91" t="s">
        <v>52</v>
      </c>
      <c r="B36" s="78">
        <v>25</v>
      </c>
      <c r="C36" s="78">
        <v>41</v>
      </c>
      <c r="D36" s="78">
        <v>30</v>
      </c>
      <c r="E36" s="78">
        <v>36</v>
      </c>
      <c r="F36" s="404">
        <v>18</v>
      </c>
      <c r="G36" s="404">
        <v>26</v>
      </c>
      <c r="H36" s="481">
        <v>27</v>
      </c>
      <c r="I36" s="399">
        <v>39</v>
      </c>
      <c r="J36" s="91">
        <v>34</v>
      </c>
      <c r="K36" s="102">
        <f>(C36/'Population Figures'!N27)*1000</f>
        <v>10</v>
      </c>
      <c r="L36" s="93">
        <f>(D36/'Population Figures'!Q27)*1000</f>
        <v>7.4312608372553877</v>
      </c>
      <c r="M36" s="93">
        <f>(E36/'Population Figures'!T27)*1000</f>
        <v>9.0338770388958594</v>
      </c>
      <c r="N36" s="93">
        <f>(F36/'Population Figures'!W27)*1000</f>
        <v>4.5500505561172906</v>
      </c>
      <c r="O36" s="93">
        <f>(G36/'Population Figures'!Z27)*1000</f>
        <v>6.2409985597695634</v>
      </c>
      <c r="P36" s="93">
        <f>(H36/'Population Figures'!AC27)*1000</f>
        <v>6.543868153174988</v>
      </c>
      <c r="Q36" s="93">
        <f>(I36/'Population Figures'!AF27)*1000</f>
        <v>9.598818606940684</v>
      </c>
      <c r="R36" s="93">
        <f>(J36/'Population Figures'!AI27)*1000</f>
        <v>8.4766891049613555</v>
      </c>
    </row>
    <row r="37" spans="1:21">
      <c r="A37" s="91" t="s">
        <v>53</v>
      </c>
      <c r="B37" s="78">
        <v>183</v>
      </c>
      <c r="C37" s="78">
        <v>191</v>
      </c>
      <c r="D37" s="78">
        <v>197</v>
      </c>
      <c r="E37" s="78">
        <v>201</v>
      </c>
      <c r="F37" s="404">
        <v>201</v>
      </c>
      <c r="G37" s="404">
        <v>223</v>
      </c>
      <c r="H37" s="481">
        <v>237</v>
      </c>
      <c r="I37" s="399">
        <v>246</v>
      </c>
      <c r="J37" s="91">
        <v>255</v>
      </c>
      <c r="K37" s="102">
        <f>(C37/'Population Figures'!N28)*1000</f>
        <v>6.7050480938004631</v>
      </c>
      <c r="L37" s="93">
        <f>(D37/'Population Figures'!Q28)*1000</f>
        <v>6.8734517288301182</v>
      </c>
      <c r="M37" s="93">
        <f>(E37/'Population Figures'!T28)*1000</f>
        <v>7.0296925821005143</v>
      </c>
      <c r="N37" s="93">
        <f>(F37/'Population Figures'!W28)*1000</f>
        <v>7.0363369040117618</v>
      </c>
      <c r="O37" s="93">
        <f>(G37/'Population Figures'!Z28)*1000</f>
        <v>7.7573311997773686</v>
      </c>
      <c r="P37" s="93">
        <f>(H37/'Population Figures'!AC28)*1000</f>
        <v>8.303552659239017</v>
      </c>
      <c r="Q37" s="93">
        <f>(I37/'Population Figures'!AF28)*1000</f>
        <v>8.69073694623048</v>
      </c>
      <c r="R37" s="93">
        <f>(J37/'Population Figures'!AI28)*1000</f>
        <v>9.055719308214071</v>
      </c>
    </row>
    <row r="38" spans="1:21">
      <c r="A38" s="91" t="s">
        <v>54</v>
      </c>
      <c r="B38" s="78">
        <v>577</v>
      </c>
      <c r="C38" s="78">
        <v>659</v>
      </c>
      <c r="D38" s="78">
        <v>715</v>
      </c>
      <c r="E38" s="78">
        <v>788</v>
      </c>
      <c r="F38" s="404">
        <v>768</v>
      </c>
      <c r="G38" s="404">
        <v>783</v>
      </c>
      <c r="H38" s="481">
        <v>773</v>
      </c>
      <c r="I38" s="399">
        <v>713</v>
      </c>
      <c r="J38" s="91">
        <v>682</v>
      </c>
      <c r="K38" s="102">
        <f>(C38/'Population Figures'!N29)*1000</f>
        <v>18.684434363481714</v>
      </c>
      <c r="L38" s="93">
        <f>(D38/'Population Figures'!Q29)*1000</f>
        <v>20.35239532037232</v>
      </c>
      <c r="M38" s="93">
        <f>(E38/'Population Figures'!T29)*1000</f>
        <v>22.714170413928283</v>
      </c>
      <c r="N38" s="93">
        <f>(F38/'Population Figures'!W29)*1000</f>
        <v>22.299651567944252</v>
      </c>
      <c r="O38" s="93">
        <f>(G38/'Population Figures'!Z29)*1000</f>
        <v>22.551193802021832</v>
      </c>
      <c r="P38" s="93">
        <f>(H38/'Population Figures'!AC29)*1000</f>
        <v>22.454611474219316</v>
      </c>
      <c r="Q38" s="93">
        <f>(I38/'Population Figures'!AF29)*1000</f>
        <v>20.80719059153121</v>
      </c>
      <c r="R38" s="93">
        <f>(J38/'Population Figures'!AI29)*1000</f>
        <v>20.010562760401385</v>
      </c>
    </row>
    <row r="39" spans="1:21">
      <c r="A39" s="91" t="s">
        <v>55</v>
      </c>
      <c r="B39" s="78">
        <v>183</v>
      </c>
      <c r="C39" s="78">
        <v>176</v>
      </c>
      <c r="D39" s="78">
        <v>186</v>
      </c>
      <c r="E39" s="78">
        <v>206</v>
      </c>
      <c r="F39" s="404">
        <v>204</v>
      </c>
      <c r="G39" s="404">
        <v>189</v>
      </c>
      <c r="H39" s="481">
        <v>178</v>
      </c>
      <c r="I39" s="399">
        <v>179</v>
      </c>
      <c r="J39" s="91">
        <v>201</v>
      </c>
      <c r="K39" s="102">
        <f>(C39/'Population Figures'!N30)*1000</f>
        <v>7.6731917861969743</v>
      </c>
      <c r="L39" s="93">
        <f>(D39/'Population Figures'!Q30)*1000</f>
        <v>8.0932904011835358</v>
      </c>
      <c r="M39" s="93">
        <f>(E39/'Population Figures'!T30)*1000</f>
        <v>9.0418294342272745</v>
      </c>
      <c r="N39" s="93">
        <f>(F39/'Population Figures'!W30)*1000</f>
        <v>9.0269480950484535</v>
      </c>
      <c r="O39" s="93">
        <f>(G39/'Population Figures'!Z30)*1000</f>
        <v>8.5858356425748426</v>
      </c>
      <c r="P39" s="93">
        <f>(H39/'Population Figures'!AC30)*1000</f>
        <v>8.168509935294388</v>
      </c>
      <c r="Q39" s="93">
        <f>(I39/'Population Figures'!AF30)*1000</f>
        <v>8.2477076901810804</v>
      </c>
      <c r="R39" s="93">
        <f>(J39/'Population Figures'!AI30)*1000</f>
        <v>9.2810638592602857</v>
      </c>
    </row>
    <row r="40" spans="1:21">
      <c r="A40" s="91" t="s">
        <v>56</v>
      </c>
      <c r="B40" s="78">
        <v>26</v>
      </c>
      <c r="C40" s="78">
        <v>32</v>
      </c>
      <c r="D40" s="78">
        <v>36</v>
      </c>
      <c r="E40" s="78">
        <v>36</v>
      </c>
      <c r="F40" s="404">
        <v>27</v>
      </c>
      <c r="G40" s="404">
        <v>31</v>
      </c>
      <c r="H40" s="481">
        <v>30</v>
      </c>
      <c r="I40" s="399">
        <v>31</v>
      </c>
      <c r="J40" s="91">
        <v>35</v>
      </c>
      <c r="K40" s="102">
        <f>(C40/'Population Figures'!N31)*1000</f>
        <v>6.3948840927258193</v>
      </c>
      <c r="L40" s="93">
        <f>(D40/'Population Figures'!Q31)*1000</f>
        <v>7.3304825901038484</v>
      </c>
      <c r="M40" s="93">
        <f>(E40/'Population Figures'!T31)*1000</f>
        <v>7.3574494175352543</v>
      </c>
      <c r="N40" s="93">
        <f>(F40/'Population Figures'!W31)*1000</f>
        <v>5.5327868852459012</v>
      </c>
      <c r="O40" s="93">
        <f>(G40/'Population Figures'!Z31)*1000</f>
        <v>6.0760486083888665</v>
      </c>
      <c r="P40" s="93">
        <f>(H40/'Population Figures'!AC31)*1000</f>
        <v>5.9880239520958085</v>
      </c>
      <c r="Q40" s="93">
        <f>(I40/'Population Figures'!AF31)*1000</f>
        <v>6.2753036437246958</v>
      </c>
      <c r="R40" s="93">
        <f>(J40/'Population Figures'!AI31)*1000</f>
        <v>7.1780147662018052</v>
      </c>
    </row>
    <row r="41" spans="1:21">
      <c r="A41" s="91" t="s">
        <v>57</v>
      </c>
      <c r="B41" s="78">
        <v>263</v>
      </c>
      <c r="C41" s="78">
        <v>276</v>
      </c>
      <c r="D41" s="78">
        <v>290</v>
      </c>
      <c r="E41" s="78">
        <v>351</v>
      </c>
      <c r="F41" s="404">
        <v>336</v>
      </c>
      <c r="G41" s="404">
        <v>352</v>
      </c>
      <c r="H41" s="481">
        <v>365</v>
      </c>
      <c r="I41" s="399">
        <v>343</v>
      </c>
      <c r="J41" s="91">
        <v>330</v>
      </c>
      <c r="K41" s="102">
        <f>(C41/'Population Figures'!N32)*1000</f>
        <v>12.826470861604239</v>
      </c>
      <c r="L41" s="93">
        <f>(D41/'Population Figures'!Q32)*1000</f>
        <v>13.616302000187812</v>
      </c>
      <c r="M41" s="93">
        <f>(E41/'Population Figures'!T32)*1000</f>
        <v>16.714285714285712</v>
      </c>
      <c r="N41" s="93">
        <f>(F41/'Population Figures'!W32)*1000</f>
        <v>16.213868648361725</v>
      </c>
      <c r="O41" s="93">
        <f>(G41/'Population Figures'!Z32)*1000</f>
        <v>16.645387052537004</v>
      </c>
      <c r="P41" s="93">
        <f>(H41/'Population Figures'!AC32)*1000</f>
        <v>17.538801595310172</v>
      </c>
      <c r="Q41" s="93">
        <f>(I41/'Population Figures'!AF32)*1000</f>
        <v>16.624660721209771</v>
      </c>
      <c r="R41" s="93">
        <f>(J41/'Population Figures'!AI32)*1000</f>
        <v>16.141655253375074</v>
      </c>
    </row>
    <row r="42" spans="1:21">
      <c r="A42" s="91" t="s">
        <v>58</v>
      </c>
      <c r="B42" s="78">
        <v>501</v>
      </c>
      <c r="C42" s="78">
        <v>534</v>
      </c>
      <c r="D42" s="78">
        <v>487</v>
      </c>
      <c r="E42" s="78">
        <v>486</v>
      </c>
      <c r="F42" s="404">
        <v>542</v>
      </c>
      <c r="G42" s="404">
        <v>608</v>
      </c>
      <c r="H42" s="481">
        <v>585</v>
      </c>
      <c r="I42" s="399">
        <v>595</v>
      </c>
      <c r="J42" s="91">
        <v>548</v>
      </c>
      <c r="K42" s="102">
        <f>(C42/'Population Figures'!N33)*1000</f>
        <v>8.1537921241086551</v>
      </c>
      <c r="L42" s="93">
        <f>(D42/'Population Figures'!Q33)*1000</f>
        <v>7.4670346519472561</v>
      </c>
      <c r="M42" s="93">
        <f>(E42/'Population Figures'!T33)*1000</f>
        <v>7.4841769715262485</v>
      </c>
      <c r="N42" s="93">
        <f>(F42/'Population Figures'!W33)*1000</f>
        <v>8.4032310578458596</v>
      </c>
      <c r="O42" s="93">
        <f>(G42/'Population Figures'!Z33)*1000</f>
        <v>9.6307677686081323</v>
      </c>
      <c r="P42" s="93">
        <f>(H42/'Population Figures'!AC33)*1000</f>
        <v>9.3189964157706093</v>
      </c>
      <c r="Q42" s="93">
        <f>(I42/'Population Figures'!AF33)*1000</f>
        <v>9.5168023544089184</v>
      </c>
      <c r="R42" s="93">
        <f>(J42/'Population Figures'!AI33)*1000</f>
        <v>8.8095812233743267</v>
      </c>
    </row>
    <row r="43" spans="1:21">
      <c r="A43" s="91" t="s">
        <v>59</v>
      </c>
      <c r="B43" s="78">
        <v>192</v>
      </c>
      <c r="C43" s="78">
        <v>212</v>
      </c>
      <c r="D43" s="78">
        <v>218</v>
      </c>
      <c r="E43" s="78">
        <v>218</v>
      </c>
      <c r="F43" s="404">
        <v>250</v>
      </c>
      <c r="G43" s="404">
        <v>251</v>
      </c>
      <c r="H43" s="481">
        <v>246</v>
      </c>
      <c r="I43" s="399">
        <v>233</v>
      </c>
      <c r="J43" s="91">
        <v>216</v>
      </c>
      <c r="K43" s="102">
        <f>(C43/'Population Figures'!N34)*1000</f>
        <v>11.125688795591708</v>
      </c>
      <c r="L43" s="93">
        <f>(D43/'Population Figures'!Q34)*1000</f>
        <v>11.513071032479534</v>
      </c>
      <c r="M43" s="93">
        <f>(E43/'Population Figures'!T34)*1000</f>
        <v>11.657754010695188</v>
      </c>
      <c r="N43" s="93">
        <f>(F43/'Population Figures'!W34)*1000</f>
        <v>13.357555033126737</v>
      </c>
      <c r="O43" s="93">
        <f>(G43/'Population Figures'!Z34)*1000</f>
        <v>13.806380638063807</v>
      </c>
      <c r="P43" s="93">
        <f>(H43/'Population Figures'!AC34)*1000</f>
        <v>13.431613431613432</v>
      </c>
      <c r="Q43" s="93">
        <f>(I43/'Population Figures'!AF34)*1000</f>
        <v>12.832516384865341</v>
      </c>
      <c r="R43" s="93">
        <f>(J43/'Population Figures'!AI34)*1000</f>
        <v>11.976711948988079</v>
      </c>
    </row>
    <row r="44" spans="1:21">
      <c r="A44" s="91" t="s">
        <v>60</v>
      </c>
      <c r="B44" s="78">
        <v>386</v>
      </c>
      <c r="C44" s="78">
        <v>408</v>
      </c>
      <c r="D44" s="78">
        <v>376</v>
      </c>
      <c r="E44" s="78">
        <v>382</v>
      </c>
      <c r="F44" s="404">
        <v>381</v>
      </c>
      <c r="G44" s="404">
        <v>367</v>
      </c>
      <c r="H44" s="481">
        <v>347</v>
      </c>
      <c r="I44" s="399">
        <v>329</v>
      </c>
      <c r="J44" s="91">
        <v>386</v>
      </c>
      <c r="K44" s="102">
        <f>(C44/'Population Figures'!N35)*1000</f>
        <v>21.557645566944942</v>
      </c>
      <c r="L44" s="93">
        <f>(D44/'Population Figures'!Q35)*1000</f>
        <v>19.986179769308457</v>
      </c>
      <c r="M44" s="93">
        <f>(E44/'Population Figures'!T35)*1000</f>
        <v>20.397266125587358</v>
      </c>
      <c r="N44" s="93">
        <f>(F44/'Population Figures'!W35)*1000</f>
        <v>20.658244320338337</v>
      </c>
      <c r="O44" s="93">
        <f>(G44/'Population Figures'!Z35)*1000</f>
        <v>20.109589041095891</v>
      </c>
      <c r="P44" s="93">
        <f>(H44/'Population Figures'!AC35)*1000</f>
        <v>19.171270718232044</v>
      </c>
      <c r="Q44" s="93">
        <f>(I44/'Population Figures'!AF35)*1000</f>
        <v>18.383996423781849</v>
      </c>
      <c r="R44" s="93">
        <f>(J44/'Population Figures'!AI35)*1000</f>
        <v>21.73056353093509</v>
      </c>
    </row>
    <row r="45" spans="1:21">
      <c r="A45" s="91" t="s">
        <v>61</v>
      </c>
      <c r="B45" s="78">
        <v>431</v>
      </c>
      <c r="C45" s="78">
        <v>400</v>
      </c>
      <c r="D45" s="78">
        <v>406</v>
      </c>
      <c r="E45" s="78">
        <v>449</v>
      </c>
      <c r="F45" s="404">
        <v>446</v>
      </c>
      <c r="G45" s="404">
        <v>414</v>
      </c>
      <c r="H45" s="481">
        <v>445</v>
      </c>
      <c r="I45" s="399">
        <v>415</v>
      </c>
      <c r="J45" s="91">
        <v>434</v>
      </c>
      <c r="K45" s="102">
        <f>(C45/'Population Figures'!N36)*1000</f>
        <v>10.21528717726077</v>
      </c>
      <c r="L45" s="93">
        <f>(D45/'Population Figures'!Q36)*1000</f>
        <v>10.299601714909054</v>
      </c>
      <c r="M45" s="93">
        <f>(E45/'Population Figures'!T36)*1000</f>
        <v>11.373999392035667</v>
      </c>
      <c r="N45" s="93">
        <f>(F45/'Population Figures'!W36)*1000</f>
        <v>11.30802971527091</v>
      </c>
      <c r="O45" s="93">
        <f>(G45/'Population Figures'!Z36)*1000</f>
        <v>10.353882706014755</v>
      </c>
      <c r="P45" s="93">
        <f>(H45/'Population Figures'!AC36)*1000</f>
        <v>11.185682326621924</v>
      </c>
      <c r="Q45" s="93">
        <f>(I45/'Population Figures'!AF36)*1000</f>
        <v>10.489864010919568</v>
      </c>
      <c r="R45" s="93">
        <f>(J45/'Population Figures'!AI36)*1000</f>
        <v>10.987063618642566</v>
      </c>
    </row>
    <row r="46" spans="1:21" s="84" customFormat="1">
      <c r="A46" s="100" t="s">
        <v>5</v>
      </c>
      <c r="B46" s="100">
        <v>13764</v>
      </c>
      <c r="C46" s="100">
        <v>14630</v>
      </c>
      <c r="D46" s="100">
        <v>15141</v>
      </c>
      <c r="E46" s="100">
        <v>15708</v>
      </c>
      <c r="F46" s="409">
        <v>16064</v>
      </c>
      <c r="G46" s="409">
        <v>16093</v>
      </c>
      <c r="H46" s="480">
        <v>15880</v>
      </c>
      <c r="I46" s="604">
        <v>15580</v>
      </c>
      <c r="J46" s="100">
        <v>15404</v>
      </c>
      <c r="K46" s="103">
        <f>(C46/'Population Figures'!N37)*1000</f>
        <v>13.967827215208604</v>
      </c>
      <c r="L46" s="95">
        <f>(D46/'Population Figures'!Q37)*1000</f>
        <v>14.479393091471398</v>
      </c>
      <c r="M46" s="95">
        <f>(E46/'Population Figures'!T37)*1000</f>
        <v>15.072729662897844</v>
      </c>
      <c r="N46" s="95">
        <f>(F46/'Population Figures'!W37)*1000</f>
        <v>15.478316000844062</v>
      </c>
      <c r="O46" s="95">
        <f>(G46/'Population Figures'!Z37)*1000</f>
        <v>15.443478194112036</v>
      </c>
      <c r="P46" s="95">
        <f>(H46/'Population Figures'!AC37)*1000</f>
        <v>15.291815604585233</v>
      </c>
      <c r="Q46" s="95">
        <f>(I46/'Population Figures'!AF37)*1000</f>
        <v>15.047411903101622</v>
      </c>
      <c r="R46" s="95">
        <f>(J46/'Population Figures'!AI37)*1000</f>
        <v>14.909265831900061</v>
      </c>
    </row>
    <row r="47" spans="1:21">
      <c r="B47" s="415"/>
      <c r="D47" s="11"/>
      <c r="J47" t="s">
        <v>264</v>
      </c>
      <c r="K47" s="90">
        <f t="shared" ref="K47:R47" si="0">MIN(K14:K45)</f>
        <v>4.6183223056085971</v>
      </c>
      <c r="L47" s="90">
        <f t="shared" si="0"/>
        <v>5.7964502359020447</v>
      </c>
      <c r="M47" s="90">
        <f t="shared" si="0"/>
        <v>6.180186778978209</v>
      </c>
      <c r="N47" s="90">
        <f t="shared" si="0"/>
        <v>4.5500505561172906</v>
      </c>
      <c r="O47" s="90">
        <f t="shared" si="0"/>
        <v>6.0760486083888665</v>
      </c>
      <c r="P47" s="90">
        <f t="shared" si="0"/>
        <v>5.9880239520958085</v>
      </c>
      <c r="Q47" s="90">
        <f t="shared" si="0"/>
        <v>6.2753036437246958</v>
      </c>
      <c r="R47" s="90">
        <f t="shared" si="0"/>
        <v>7.0419138571359667</v>
      </c>
      <c r="U47" s="90"/>
    </row>
    <row r="48" spans="1:21">
      <c r="A48" s="1" t="s">
        <v>93</v>
      </c>
      <c r="J48" t="s">
        <v>265</v>
      </c>
      <c r="K48" s="90">
        <f t="shared" ref="K48:R48" si="1">MAX(K14:K45)</f>
        <v>26.805652240735551</v>
      </c>
      <c r="L48" s="90">
        <f t="shared" si="1"/>
        <v>28.847723932724932</v>
      </c>
      <c r="M48" s="90">
        <f t="shared" si="1"/>
        <v>31.26839917028234</v>
      </c>
      <c r="N48" s="90">
        <f t="shared" si="1"/>
        <v>33.970796556608917</v>
      </c>
      <c r="O48" s="90">
        <f t="shared" si="1"/>
        <v>33.682986908748717</v>
      </c>
      <c r="P48" s="90">
        <f t="shared" si="1"/>
        <v>32.955611559757919</v>
      </c>
      <c r="Q48" s="90">
        <f t="shared" si="1"/>
        <v>32.108200236413111</v>
      </c>
      <c r="R48" s="90">
        <f t="shared" si="1"/>
        <v>31.213957490434431</v>
      </c>
      <c r="U48" s="90"/>
    </row>
    <row r="49" spans="1:28">
      <c r="A49" s="85" t="s">
        <v>278</v>
      </c>
    </row>
    <row r="50" spans="1:28">
      <c r="A50" s="115"/>
    </row>
    <row r="55" spans="1:28">
      <c r="A55" s="1" t="s">
        <v>150</v>
      </c>
    </row>
    <row r="56" spans="1:28" ht="13.5" thickBot="1"/>
    <row r="57" spans="1:28" ht="13.5" thickBot="1">
      <c r="B57" s="755" t="s">
        <v>154</v>
      </c>
      <c r="C57" s="756"/>
      <c r="D57" s="756"/>
      <c r="E57" s="756"/>
      <c r="F57" s="756"/>
      <c r="G57" s="756"/>
      <c r="H57" s="756"/>
      <c r="I57" s="759"/>
      <c r="J57" s="760"/>
      <c r="K57" s="758" t="s">
        <v>151</v>
      </c>
      <c r="L57" s="765"/>
      <c r="M57" s="765"/>
      <c r="N57" s="765"/>
      <c r="O57" s="765"/>
      <c r="P57" s="765"/>
      <c r="Q57" s="765"/>
      <c r="R57" s="765"/>
      <c r="S57" s="760"/>
      <c r="T57" s="758" t="s">
        <v>152</v>
      </c>
      <c r="U57" s="759"/>
      <c r="V57" s="759"/>
      <c r="W57" s="759"/>
      <c r="X57" s="759"/>
      <c r="Y57" s="759"/>
      <c r="Z57" s="759"/>
      <c r="AA57" s="759"/>
      <c r="AB57" s="760"/>
    </row>
    <row r="58" spans="1:28" ht="13.5" thickBot="1">
      <c r="A58" s="124" t="s">
        <v>26</v>
      </c>
      <c r="B58" s="68">
        <v>2007</v>
      </c>
      <c r="C58" s="69">
        <v>2008</v>
      </c>
      <c r="D58" s="69">
        <v>2009</v>
      </c>
      <c r="E58" s="69">
        <v>2010</v>
      </c>
      <c r="F58" s="416">
        <v>2011</v>
      </c>
      <c r="G58" s="416">
        <v>2012</v>
      </c>
      <c r="H58" s="70">
        <v>2013</v>
      </c>
      <c r="I58" s="70">
        <v>2014</v>
      </c>
      <c r="J58" s="608">
        <v>2015</v>
      </c>
      <c r="K58" s="68">
        <v>2007</v>
      </c>
      <c r="L58" s="69">
        <v>2008</v>
      </c>
      <c r="M58" s="69">
        <v>2009</v>
      </c>
      <c r="N58" s="69">
        <v>2010</v>
      </c>
      <c r="O58" s="416">
        <v>2011</v>
      </c>
      <c r="P58" s="416">
        <v>2012</v>
      </c>
      <c r="Q58" s="70">
        <v>2013</v>
      </c>
      <c r="R58" s="70">
        <v>2014</v>
      </c>
      <c r="S58" s="608">
        <v>2015</v>
      </c>
      <c r="T58" s="68">
        <v>2007</v>
      </c>
      <c r="U58" s="69">
        <v>2008</v>
      </c>
      <c r="V58" s="69">
        <v>2009</v>
      </c>
      <c r="W58" s="69">
        <v>2010</v>
      </c>
      <c r="X58" s="416">
        <v>2011</v>
      </c>
      <c r="Y58" s="416">
        <v>2012</v>
      </c>
      <c r="Z58" s="70">
        <v>2013</v>
      </c>
      <c r="AA58" s="70">
        <v>2014</v>
      </c>
      <c r="AB58" s="608">
        <v>2015</v>
      </c>
    </row>
    <row r="59" spans="1:28">
      <c r="A59" s="125" t="str">
        <f t="shared" ref="A59:A91" si="2">A181</f>
        <v>Aberdeen City</v>
      </c>
      <c r="B59" s="483">
        <v>120</v>
      </c>
      <c r="C59" s="74">
        <v>117</v>
      </c>
      <c r="D59" s="74">
        <v>141</v>
      </c>
      <c r="E59" s="74">
        <v>117</v>
      </c>
      <c r="F59" s="484">
        <v>115</v>
      </c>
      <c r="G59" s="484">
        <v>125</v>
      </c>
      <c r="H59" s="507">
        <v>117</v>
      </c>
      <c r="I59" s="605">
        <v>116</v>
      </c>
      <c r="J59" s="91">
        <v>108</v>
      </c>
      <c r="K59" s="485">
        <v>128</v>
      </c>
      <c r="L59" s="486">
        <v>149</v>
      </c>
      <c r="M59" s="486">
        <v>171</v>
      </c>
      <c r="N59" s="486">
        <v>175</v>
      </c>
      <c r="O59" s="484">
        <v>173</v>
      </c>
      <c r="P59" s="484">
        <v>168</v>
      </c>
      <c r="Q59" s="507">
        <v>164</v>
      </c>
      <c r="R59" s="605">
        <v>148</v>
      </c>
      <c r="S59" s="91">
        <v>146</v>
      </c>
      <c r="T59" s="485">
        <v>169</v>
      </c>
      <c r="U59" s="486">
        <v>178</v>
      </c>
      <c r="V59" s="486">
        <v>169</v>
      </c>
      <c r="W59" s="486">
        <v>157</v>
      </c>
      <c r="X59" s="484">
        <v>148</v>
      </c>
      <c r="Y59" s="484">
        <v>146</v>
      </c>
      <c r="Z59" s="507">
        <v>156</v>
      </c>
      <c r="AA59" s="605">
        <v>168</v>
      </c>
      <c r="AB59" s="91">
        <v>169</v>
      </c>
    </row>
    <row r="60" spans="1:28">
      <c r="A60" s="123" t="str">
        <f t="shared" si="2"/>
        <v>Aberdeenshire</v>
      </c>
      <c r="B60" s="139">
        <v>42</v>
      </c>
      <c r="C60" s="78">
        <v>39</v>
      </c>
      <c r="D60" s="78">
        <v>53</v>
      </c>
      <c r="E60" s="78">
        <v>40</v>
      </c>
      <c r="F60" s="487">
        <v>57</v>
      </c>
      <c r="G60" s="487">
        <v>53</v>
      </c>
      <c r="H60" s="508">
        <v>54</v>
      </c>
      <c r="I60" s="606">
        <v>52</v>
      </c>
      <c r="J60" s="91">
        <v>58</v>
      </c>
      <c r="K60" s="488">
        <v>71</v>
      </c>
      <c r="L60" s="182">
        <v>76</v>
      </c>
      <c r="M60" s="182">
        <v>123</v>
      </c>
      <c r="N60" s="182">
        <v>115</v>
      </c>
      <c r="O60" s="487">
        <v>105</v>
      </c>
      <c r="P60" s="487">
        <v>107</v>
      </c>
      <c r="Q60" s="508">
        <v>94</v>
      </c>
      <c r="R60" s="606">
        <v>84</v>
      </c>
      <c r="S60" s="91">
        <v>102</v>
      </c>
      <c r="T60" s="488">
        <v>99</v>
      </c>
      <c r="U60" s="182">
        <v>103</v>
      </c>
      <c r="V60" s="182">
        <v>150</v>
      </c>
      <c r="W60" s="182">
        <v>154</v>
      </c>
      <c r="X60" s="487">
        <v>156</v>
      </c>
      <c r="Y60" s="487">
        <v>147</v>
      </c>
      <c r="Z60" s="508">
        <v>149</v>
      </c>
      <c r="AA60" s="606">
        <v>152</v>
      </c>
      <c r="AB60" s="91">
        <v>141</v>
      </c>
    </row>
    <row r="61" spans="1:28">
      <c r="A61" s="123" t="str">
        <f t="shared" si="2"/>
        <v>Angus</v>
      </c>
      <c r="B61" s="139">
        <v>68</v>
      </c>
      <c r="C61" s="78">
        <v>52</v>
      </c>
      <c r="D61" s="78">
        <v>41</v>
      </c>
      <c r="E61" s="78">
        <v>48</v>
      </c>
      <c r="F61" s="487">
        <v>44</v>
      </c>
      <c r="G61" s="487">
        <v>41</v>
      </c>
      <c r="H61" s="508">
        <v>45</v>
      </c>
      <c r="I61" s="606">
        <v>36</v>
      </c>
      <c r="J61" s="91">
        <v>40</v>
      </c>
      <c r="K61" s="488">
        <v>66</v>
      </c>
      <c r="L61" s="182">
        <v>76</v>
      </c>
      <c r="M61" s="182">
        <v>79</v>
      </c>
      <c r="N61" s="182">
        <v>84</v>
      </c>
      <c r="O61" s="487">
        <v>75</v>
      </c>
      <c r="P61" s="487">
        <v>62</v>
      </c>
      <c r="Q61" s="508">
        <v>60</v>
      </c>
      <c r="R61" s="606">
        <v>60</v>
      </c>
      <c r="S61" s="91">
        <v>57</v>
      </c>
      <c r="T61" s="488">
        <v>76</v>
      </c>
      <c r="U61" s="182">
        <v>65</v>
      </c>
      <c r="V61" s="182">
        <v>70</v>
      </c>
      <c r="W61" s="182">
        <v>89</v>
      </c>
      <c r="X61" s="487">
        <v>79</v>
      </c>
      <c r="Y61" s="487">
        <v>79</v>
      </c>
      <c r="Z61" s="508">
        <v>79</v>
      </c>
      <c r="AA61" s="606">
        <v>83</v>
      </c>
      <c r="AB61" s="91">
        <v>71</v>
      </c>
    </row>
    <row r="62" spans="1:28">
      <c r="A62" s="123" t="str">
        <f t="shared" si="2"/>
        <v>Argyll &amp; Bute</v>
      </c>
      <c r="B62" s="139">
        <v>10</v>
      </c>
      <c r="C62" s="78">
        <v>15</v>
      </c>
      <c r="D62" s="78">
        <v>20</v>
      </c>
      <c r="E62" s="78">
        <v>29</v>
      </c>
      <c r="F62" s="487">
        <v>27</v>
      </c>
      <c r="G62" s="487">
        <v>28</v>
      </c>
      <c r="H62" s="508">
        <v>24</v>
      </c>
      <c r="I62" s="606">
        <v>21</v>
      </c>
      <c r="J62" s="91">
        <v>26</v>
      </c>
      <c r="K62" s="488">
        <v>24</v>
      </c>
      <c r="L62" s="182">
        <v>20</v>
      </c>
      <c r="M62" s="182">
        <v>37</v>
      </c>
      <c r="N62" s="182">
        <v>64</v>
      </c>
      <c r="O62" s="487">
        <v>65</v>
      </c>
      <c r="P62" s="487">
        <v>53</v>
      </c>
      <c r="Q62" s="508">
        <v>48</v>
      </c>
      <c r="R62" s="606">
        <v>49</v>
      </c>
      <c r="S62" s="91">
        <v>42</v>
      </c>
      <c r="T62" s="488">
        <v>56</v>
      </c>
      <c r="U62" s="182">
        <v>47</v>
      </c>
      <c r="V62" s="182">
        <v>58</v>
      </c>
      <c r="W62" s="182">
        <v>60</v>
      </c>
      <c r="X62" s="487">
        <v>54</v>
      </c>
      <c r="Y62" s="487">
        <v>50</v>
      </c>
      <c r="Z62" s="508">
        <v>53</v>
      </c>
      <c r="AA62" s="606">
        <v>52</v>
      </c>
      <c r="AB62" s="91">
        <v>50</v>
      </c>
    </row>
    <row r="63" spans="1:28">
      <c r="A63" s="123" t="str">
        <f t="shared" si="2"/>
        <v>Clackmannanshire</v>
      </c>
      <c r="B63" s="139">
        <v>24</v>
      </c>
      <c r="C63" s="78">
        <v>30</v>
      </c>
      <c r="D63" s="78">
        <v>31</v>
      </c>
      <c r="E63" s="78">
        <v>48</v>
      </c>
      <c r="F63" s="487">
        <v>33</v>
      </c>
      <c r="G63" s="487">
        <v>41</v>
      </c>
      <c r="H63" s="508">
        <v>36</v>
      </c>
      <c r="I63" s="606">
        <v>31</v>
      </c>
      <c r="J63" s="91">
        <v>29</v>
      </c>
      <c r="K63" s="488">
        <v>40</v>
      </c>
      <c r="L63" s="182">
        <v>48</v>
      </c>
      <c r="M63" s="182">
        <v>55</v>
      </c>
      <c r="N63" s="182">
        <v>49</v>
      </c>
      <c r="O63" s="487">
        <v>48</v>
      </c>
      <c r="P63" s="487">
        <v>47</v>
      </c>
      <c r="Q63" s="508">
        <v>55</v>
      </c>
      <c r="R63" s="606">
        <v>53</v>
      </c>
      <c r="S63" s="91">
        <v>55</v>
      </c>
      <c r="T63" s="488">
        <v>41</v>
      </c>
      <c r="U63" s="182">
        <v>45</v>
      </c>
      <c r="V63" s="182">
        <v>42</v>
      </c>
      <c r="W63" s="182">
        <v>45</v>
      </c>
      <c r="X63" s="487">
        <v>49</v>
      </c>
      <c r="Y63" s="487">
        <v>54</v>
      </c>
      <c r="Z63" s="508">
        <v>41</v>
      </c>
      <c r="AA63" s="606">
        <v>46</v>
      </c>
      <c r="AB63" s="91">
        <v>57</v>
      </c>
    </row>
    <row r="64" spans="1:28">
      <c r="A64" s="123" t="str">
        <f t="shared" si="2"/>
        <v>Dumfries &amp; Galloway</v>
      </c>
      <c r="B64" s="139">
        <v>46</v>
      </c>
      <c r="C64" s="78">
        <v>53</v>
      </c>
      <c r="D64" s="78">
        <v>56</v>
      </c>
      <c r="E64" s="78">
        <v>55</v>
      </c>
      <c r="F64" s="487">
        <v>60</v>
      </c>
      <c r="G64" s="487">
        <v>45</v>
      </c>
      <c r="H64" s="508">
        <v>58</v>
      </c>
      <c r="I64" s="606">
        <v>66</v>
      </c>
      <c r="J64" s="91">
        <v>62</v>
      </c>
      <c r="K64" s="488">
        <v>52</v>
      </c>
      <c r="L64" s="182">
        <v>48</v>
      </c>
      <c r="M64" s="182">
        <v>55</v>
      </c>
      <c r="N64" s="182">
        <v>71</v>
      </c>
      <c r="O64" s="487">
        <v>77</v>
      </c>
      <c r="P64" s="487">
        <v>72</v>
      </c>
      <c r="Q64" s="508">
        <v>63</v>
      </c>
      <c r="R64" s="606">
        <v>73</v>
      </c>
      <c r="S64" s="91">
        <v>73</v>
      </c>
      <c r="T64" s="488">
        <v>114</v>
      </c>
      <c r="U64" s="182">
        <v>112</v>
      </c>
      <c r="V64" s="182">
        <v>109</v>
      </c>
      <c r="W64" s="182">
        <v>112</v>
      </c>
      <c r="X64" s="487">
        <v>97</v>
      </c>
      <c r="Y64" s="487">
        <v>95</v>
      </c>
      <c r="Z64" s="508">
        <v>111</v>
      </c>
      <c r="AA64" s="606">
        <v>96</v>
      </c>
      <c r="AB64" s="91">
        <v>102</v>
      </c>
    </row>
    <row r="65" spans="1:28">
      <c r="A65" s="123" t="str">
        <f t="shared" si="2"/>
        <v>Dundee City</v>
      </c>
      <c r="B65" s="139">
        <v>104</v>
      </c>
      <c r="C65" s="78">
        <v>114</v>
      </c>
      <c r="D65" s="78">
        <v>110</v>
      </c>
      <c r="E65" s="78">
        <v>114</v>
      </c>
      <c r="F65" s="487">
        <v>110</v>
      </c>
      <c r="G65" s="487">
        <v>121</v>
      </c>
      <c r="H65" s="508">
        <v>132</v>
      </c>
      <c r="I65" s="606">
        <v>123</v>
      </c>
      <c r="J65" s="91">
        <v>113</v>
      </c>
      <c r="K65" s="488">
        <v>120</v>
      </c>
      <c r="L65" s="182">
        <v>150</v>
      </c>
      <c r="M65" s="182">
        <v>174</v>
      </c>
      <c r="N65" s="182">
        <v>189</v>
      </c>
      <c r="O65" s="487">
        <v>230</v>
      </c>
      <c r="P65" s="487">
        <v>205</v>
      </c>
      <c r="Q65" s="508">
        <v>205</v>
      </c>
      <c r="R65" s="606">
        <v>186</v>
      </c>
      <c r="S65" s="91">
        <v>146</v>
      </c>
      <c r="T65" s="488">
        <v>119</v>
      </c>
      <c r="U65" s="182">
        <v>120</v>
      </c>
      <c r="V65" s="182">
        <v>123</v>
      </c>
      <c r="W65" s="182">
        <v>152</v>
      </c>
      <c r="X65" s="487">
        <v>168</v>
      </c>
      <c r="Y65" s="487">
        <v>186</v>
      </c>
      <c r="Z65" s="508">
        <v>189</v>
      </c>
      <c r="AA65" s="606">
        <v>169</v>
      </c>
      <c r="AB65" s="91">
        <v>190</v>
      </c>
    </row>
    <row r="66" spans="1:28">
      <c r="A66" s="123" t="str">
        <f t="shared" si="2"/>
        <v>East Ayrshire</v>
      </c>
      <c r="B66" s="139">
        <v>42</v>
      </c>
      <c r="C66" s="78">
        <v>60</v>
      </c>
      <c r="D66" s="78">
        <v>81</v>
      </c>
      <c r="E66" s="78">
        <v>69</v>
      </c>
      <c r="F66" s="487">
        <v>92</v>
      </c>
      <c r="G66" s="487">
        <v>96</v>
      </c>
      <c r="H66" s="508">
        <v>83</v>
      </c>
      <c r="I66" s="606">
        <v>79</v>
      </c>
      <c r="J66" s="91">
        <v>78</v>
      </c>
      <c r="K66" s="488">
        <v>101</v>
      </c>
      <c r="L66" s="182">
        <v>109</v>
      </c>
      <c r="M66" s="182">
        <v>123</v>
      </c>
      <c r="N66" s="182">
        <v>124</v>
      </c>
      <c r="O66" s="487">
        <v>132</v>
      </c>
      <c r="P66" s="487">
        <v>164</v>
      </c>
      <c r="Q66" s="508">
        <v>156</v>
      </c>
      <c r="R66" s="606">
        <v>163</v>
      </c>
      <c r="S66" s="91">
        <v>150</v>
      </c>
      <c r="T66" s="488">
        <v>88</v>
      </c>
      <c r="U66" s="182">
        <v>101</v>
      </c>
      <c r="V66" s="182">
        <v>107</v>
      </c>
      <c r="W66" s="182">
        <v>113</v>
      </c>
      <c r="X66" s="487">
        <v>125</v>
      </c>
      <c r="Y66" s="487">
        <v>131</v>
      </c>
      <c r="Z66" s="508">
        <v>143</v>
      </c>
      <c r="AA66" s="606">
        <v>130</v>
      </c>
      <c r="AB66" s="91">
        <v>114</v>
      </c>
    </row>
    <row r="67" spans="1:28">
      <c r="A67" s="123" t="str">
        <f t="shared" si="2"/>
        <v>East Dunbartonshire</v>
      </c>
      <c r="B67" s="139">
        <v>13</v>
      </c>
      <c r="C67" s="78">
        <v>13</v>
      </c>
      <c r="D67" s="78">
        <v>19</v>
      </c>
      <c r="E67" s="78">
        <v>16</v>
      </c>
      <c r="F67" s="487">
        <v>14</v>
      </c>
      <c r="G67" s="487">
        <v>19</v>
      </c>
      <c r="H67" s="508">
        <v>18</v>
      </c>
      <c r="I67" s="606">
        <v>13</v>
      </c>
      <c r="J67" s="91">
        <v>19</v>
      </c>
      <c r="K67" s="488">
        <v>18</v>
      </c>
      <c r="L67" s="182">
        <v>19</v>
      </c>
      <c r="M67" s="182">
        <v>31</v>
      </c>
      <c r="N67" s="182">
        <v>37</v>
      </c>
      <c r="O67" s="487">
        <v>46</v>
      </c>
      <c r="P67" s="487">
        <v>42</v>
      </c>
      <c r="Q67" s="508">
        <v>45</v>
      </c>
      <c r="R67" s="606">
        <v>45</v>
      </c>
      <c r="S67" s="91">
        <v>49</v>
      </c>
      <c r="T67" s="488">
        <v>26</v>
      </c>
      <c r="U67" s="182">
        <v>25</v>
      </c>
      <c r="V67" s="182">
        <v>34</v>
      </c>
      <c r="W67" s="182">
        <v>37</v>
      </c>
      <c r="X67" s="487">
        <v>39</v>
      </c>
      <c r="Y67" s="487">
        <v>43</v>
      </c>
      <c r="Z67" s="508">
        <v>46</v>
      </c>
      <c r="AA67" s="606">
        <v>47</v>
      </c>
      <c r="AB67" s="91">
        <v>54</v>
      </c>
    </row>
    <row r="68" spans="1:28">
      <c r="A68" s="123" t="str">
        <f t="shared" si="2"/>
        <v>East Lothian</v>
      </c>
      <c r="B68" s="139">
        <v>18</v>
      </c>
      <c r="C68" s="78">
        <v>20</v>
      </c>
      <c r="D68" s="78">
        <v>20</v>
      </c>
      <c r="E68" s="78">
        <v>26</v>
      </c>
      <c r="F68" s="487">
        <v>26</v>
      </c>
      <c r="G68" s="487">
        <v>27</v>
      </c>
      <c r="H68" s="508">
        <v>33</v>
      </c>
      <c r="I68" s="606">
        <v>25</v>
      </c>
      <c r="J68" s="91">
        <v>36</v>
      </c>
      <c r="K68" s="488">
        <v>39</v>
      </c>
      <c r="L68" s="182">
        <v>46</v>
      </c>
      <c r="M68" s="182">
        <v>42</v>
      </c>
      <c r="N68" s="182">
        <v>51</v>
      </c>
      <c r="O68" s="487">
        <v>55</v>
      </c>
      <c r="P68" s="487">
        <v>44</v>
      </c>
      <c r="Q68" s="508">
        <v>42</v>
      </c>
      <c r="R68" s="606">
        <v>49</v>
      </c>
      <c r="S68" s="91">
        <v>42</v>
      </c>
      <c r="T68" s="488">
        <v>58</v>
      </c>
      <c r="U68" s="182">
        <v>51</v>
      </c>
      <c r="V68" s="182">
        <v>57</v>
      </c>
      <c r="W68" s="182">
        <v>54</v>
      </c>
      <c r="X68" s="487">
        <v>58</v>
      </c>
      <c r="Y68" s="487">
        <v>63</v>
      </c>
      <c r="Z68" s="508">
        <v>74</v>
      </c>
      <c r="AA68" s="606">
        <v>72</v>
      </c>
      <c r="AB68" s="91">
        <v>68</v>
      </c>
    </row>
    <row r="69" spans="1:28">
      <c r="A69" s="123" t="str">
        <f t="shared" si="2"/>
        <v>East Renfrewshire</v>
      </c>
      <c r="B69" s="139">
        <v>11</v>
      </c>
      <c r="C69" s="78">
        <v>17</v>
      </c>
      <c r="D69" s="78">
        <v>19</v>
      </c>
      <c r="E69" s="78">
        <v>13</v>
      </c>
      <c r="F69" s="487">
        <v>10</v>
      </c>
      <c r="G69" s="487">
        <v>6</v>
      </c>
      <c r="H69" s="508">
        <v>9</v>
      </c>
      <c r="I69" s="606">
        <v>6</v>
      </c>
      <c r="J69" s="91">
        <v>13</v>
      </c>
      <c r="K69" s="488">
        <v>13</v>
      </c>
      <c r="L69" s="182">
        <v>22</v>
      </c>
      <c r="M69" s="182">
        <v>25</v>
      </c>
      <c r="N69" s="182">
        <v>29</v>
      </c>
      <c r="O69" s="487">
        <v>29</v>
      </c>
      <c r="P69" s="487">
        <v>28</v>
      </c>
      <c r="Q69" s="508">
        <v>28</v>
      </c>
      <c r="R69" s="606">
        <v>26</v>
      </c>
      <c r="S69" s="91">
        <v>25</v>
      </c>
      <c r="T69" s="488">
        <v>22</v>
      </c>
      <c r="U69" s="182">
        <v>22</v>
      </c>
      <c r="V69" s="182">
        <v>27</v>
      </c>
      <c r="W69" s="182">
        <v>28</v>
      </c>
      <c r="X69" s="487">
        <v>24</v>
      </c>
      <c r="Y69" s="487">
        <v>44</v>
      </c>
      <c r="Z69" s="508">
        <v>36</v>
      </c>
      <c r="AA69" s="606">
        <v>35</v>
      </c>
      <c r="AB69" s="91">
        <v>33</v>
      </c>
    </row>
    <row r="70" spans="1:28">
      <c r="A70" s="123" t="str">
        <f t="shared" si="2"/>
        <v>Edinburgh</v>
      </c>
      <c r="B70" s="139">
        <v>178</v>
      </c>
      <c r="C70" s="78">
        <v>234</v>
      </c>
      <c r="D70" s="78">
        <v>231</v>
      </c>
      <c r="E70" s="78">
        <v>226</v>
      </c>
      <c r="F70" s="487">
        <v>223</v>
      </c>
      <c r="G70" s="487">
        <v>245</v>
      </c>
      <c r="H70" s="508">
        <v>240</v>
      </c>
      <c r="I70" s="606">
        <v>239</v>
      </c>
      <c r="J70" s="91">
        <v>227</v>
      </c>
      <c r="K70" s="488">
        <v>273</v>
      </c>
      <c r="L70" s="182">
        <v>300</v>
      </c>
      <c r="M70" s="182">
        <v>346</v>
      </c>
      <c r="N70" s="182">
        <v>354</v>
      </c>
      <c r="O70" s="487">
        <v>356</v>
      </c>
      <c r="P70" s="487">
        <v>376</v>
      </c>
      <c r="Q70" s="508">
        <v>379</v>
      </c>
      <c r="R70" s="606">
        <v>370</v>
      </c>
      <c r="S70" s="91">
        <v>375</v>
      </c>
      <c r="T70" s="488">
        <v>304</v>
      </c>
      <c r="U70" s="182">
        <v>302</v>
      </c>
      <c r="V70" s="182">
        <v>308</v>
      </c>
      <c r="W70" s="182">
        <v>312</v>
      </c>
      <c r="X70" s="487">
        <v>348</v>
      </c>
      <c r="Y70" s="487">
        <v>402</v>
      </c>
      <c r="Z70" s="508">
        <v>416</v>
      </c>
      <c r="AA70" s="606">
        <v>462</v>
      </c>
      <c r="AB70" s="91">
        <v>464</v>
      </c>
    </row>
    <row r="71" spans="1:28">
      <c r="A71" s="123" t="str">
        <f t="shared" si="2"/>
        <v>Eilean Siar</v>
      </c>
      <c r="B71" s="139">
        <v>2</v>
      </c>
      <c r="C71" s="78">
        <v>3</v>
      </c>
      <c r="D71" s="78">
        <v>4</v>
      </c>
      <c r="E71" s="78">
        <v>5</v>
      </c>
      <c r="F71" s="487">
        <v>3</v>
      </c>
      <c r="G71" s="487">
        <v>0</v>
      </c>
      <c r="H71" s="508">
        <v>3</v>
      </c>
      <c r="I71" s="606">
        <v>4</v>
      </c>
      <c r="J71" s="91">
        <v>6</v>
      </c>
      <c r="K71" s="488">
        <v>7</v>
      </c>
      <c r="L71" s="182">
        <v>8</v>
      </c>
      <c r="M71" s="182">
        <v>10</v>
      </c>
      <c r="N71" s="182">
        <v>7</v>
      </c>
      <c r="O71" s="487">
        <v>11</v>
      </c>
      <c r="P71" s="487">
        <v>14</v>
      </c>
      <c r="Q71" s="508">
        <v>12</v>
      </c>
      <c r="R71" s="606">
        <v>6</v>
      </c>
      <c r="S71" s="91">
        <v>5</v>
      </c>
      <c r="T71" s="488">
        <v>15</v>
      </c>
      <c r="U71" s="182">
        <v>16</v>
      </c>
      <c r="V71" s="182">
        <v>20</v>
      </c>
      <c r="W71" s="182">
        <v>24</v>
      </c>
      <c r="X71" s="487">
        <v>21</v>
      </c>
      <c r="Y71" s="487">
        <v>20</v>
      </c>
      <c r="Z71" s="508">
        <v>20</v>
      </c>
      <c r="AA71" s="606">
        <v>16</v>
      </c>
      <c r="AB71" s="91">
        <v>18</v>
      </c>
    </row>
    <row r="72" spans="1:28">
      <c r="A72" s="123" t="str">
        <f t="shared" si="2"/>
        <v>Falkirk</v>
      </c>
      <c r="B72" s="139">
        <v>47</v>
      </c>
      <c r="C72" s="78">
        <v>66</v>
      </c>
      <c r="D72" s="78">
        <v>60</v>
      </c>
      <c r="E72" s="78">
        <v>65</v>
      </c>
      <c r="F72" s="487">
        <v>43</v>
      </c>
      <c r="G72" s="487">
        <v>49</v>
      </c>
      <c r="H72" s="508">
        <v>48</v>
      </c>
      <c r="I72" s="606">
        <v>60</v>
      </c>
      <c r="J72" s="91">
        <v>59</v>
      </c>
      <c r="K72" s="488">
        <v>68</v>
      </c>
      <c r="L72" s="182">
        <v>85</v>
      </c>
      <c r="M72" s="182">
        <v>97</v>
      </c>
      <c r="N72" s="182">
        <v>92</v>
      </c>
      <c r="O72" s="487">
        <v>70</v>
      </c>
      <c r="P72" s="487">
        <v>65</v>
      </c>
      <c r="Q72" s="508">
        <v>59</v>
      </c>
      <c r="R72" s="606">
        <v>58</v>
      </c>
      <c r="S72" s="91">
        <v>66</v>
      </c>
      <c r="T72" s="488">
        <v>109</v>
      </c>
      <c r="U72" s="182">
        <v>117</v>
      </c>
      <c r="V72" s="182">
        <v>109</v>
      </c>
      <c r="W72" s="182">
        <v>99</v>
      </c>
      <c r="X72" s="487">
        <v>107</v>
      </c>
      <c r="Y72" s="487">
        <v>116</v>
      </c>
      <c r="Z72" s="508">
        <v>119</v>
      </c>
      <c r="AA72" s="606">
        <v>135</v>
      </c>
      <c r="AB72" s="91">
        <v>120</v>
      </c>
    </row>
    <row r="73" spans="1:28">
      <c r="A73" s="123" t="str">
        <f t="shared" si="2"/>
        <v>Fife</v>
      </c>
      <c r="B73" s="139">
        <v>118</v>
      </c>
      <c r="C73" s="78">
        <v>109</v>
      </c>
      <c r="D73" s="78">
        <v>150</v>
      </c>
      <c r="E73" s="78">
        <v>142</v>
      </c>
      <c r="F73" s="487">
        <v>163</v>
      </c>
      <c r="G73" s="487">
        <v>169</v>
      </c>
      <c r="H73" s="508">
        <v>175</v>
      </c>
      <c r="I73" s="606">
        <v>203</v>
      </c>
      <c r="J73" s="91">
        <v>202</v>
      </c>
      <c r="K73" s="488">
        <v>174</v>
      </c>
      <c r="L73" s="182">
        <v>206</v>
      </c>
      <c r="M73" s="182">
        <v>204</v>
      </c>
      <c r="N73" s="182">
        <v>203</v>
      </c>
      <c r="O73" s="487">
        <v>242</v>
      </c>
      <c r="P73" s="487">
        <v>253</v>
      </c>
      <c r="Q73" s="508">
        <v>257</v>
      </c>
      <c r="R73" s="606">
        <v>310</v>
      </c>
      <c r="S73" s="91">
        <v>303</v>
      </c>
      <c r="T73" s="488">
        <v>209</v>
      </c>
      <c r="U73" s="182">
        <v>217</v>
      </c>
      <c r="V73" s="182">
        <v>211</v>
      </c>
      <c r="W73" s="182">
        <v>218</v>
      </c>
      <c r="X73" s="487">
        <v>222</v>
      </c>
      <c r="Y73" s="487">
        <v>244</v>
      </c>
      <c r="Z73" s="508">
        <v>272</v>
      </c>
      <c r="AA73" s="606">
        <v>304</v>
      </c>
      <c r="AB73" s="91">
        <v>334</v>
      </c>
    </row>
    <row r="74" spans="1:28">
      <c r="A74" s="123" t="str">
        <f t="shared" si="2"/>
        <v>Glasgow City</v>
      </c>
      <c r="B74" s="139">
        <v>323</v>
      </c>
      <c r="C74" s="78">
        <v>325</v>
      </c>
      <c r="D74" s="78">
        <v>398</v>
      </c>
      <c r="E74" s="78">
        <v>437</v>
      </c>
      <c r="F74" s="487">
        <v>501</v>
      </c>
      <c r="G74" s="487">
        <v>504</v>
      </c>
      <c r="H74" s="508">
        <v>501</v>
      </c>
      <c r="I74" s="606">
        <v>450</v>
      </c>
      <c r="J74" s="91">
        <v>426</v>
      </c>
      <c r="K74" s="488">
        <v>657</v>
      </c>
      <c r="L74" s="182">
        <v>672</v>
      </c>
      <c r="M74" s="182">
        <v>729</v>
      </c>
      <c r="N74" s="182">
        <v>843</v>
      </c>
      <c r="O74" s="487">
        <v>1082</v>
      </c>
      <c r="P74" s="487">
        <v>1153</v>
      </c>
      <c r="Q74" s="508">
        <v>1141</v>
      </c>
      <c r="R74" s="606">
        <v>1137</v>
      </c>
      <c r="S74" s="78">
        <v>1093</v>
      </c>
      <c r="T74" s="488">
        <v>653</v>
      </c>
      <c r="U74" s="182">
        <v>691</v>
      </c>
      <c r="V74" s="182">
        <v>705</v>
      </c>
      <c r="W74" s="182">
        <v>789</v>
      </c>
      <c r="X74" s="487">
        <v>968</v>
      </c>
      <c r="Y74" s="487">
        <v>1029</v>
      </c>
      <c r="Z74" s="508">
        <v>1095</v>
      </c>
      <c r="AA74" s="606">
        <v>1130</v>
      </c>
      <c r="AB74" s="78">
        <v>1154</v>
      </c>
    </row>
    <row r="75" spans="1:28">
      <c r="A75" s="123" t="str">
        <f t="shared" si="2"/>
        <v>Highland</v>
      </c>
      <c r="B75" s="139">
        <v>72</v>
      </c>
      <c r="C75" s="78">
        <v>64</v>
      </c>
      <c r="D75" s="78">
        <v>57</v>
      </c>
      <c r="E75" s="78">
        <v>63</v>
      </c>
      <c r="F75" s="487">
        <v>73</v>
      </c>
      <c r="G75" s="487">
        <v>91</v>
      </c>
      <c r="H75" s="508">
        <v>84</v>
      </c>
      <c r="I75" s="606">
        <v>71</v>
      </c>
      <c r="J75" s="91">
        <v>64</v>
      </c>
      <c r="K75" s="488">
        <v>73</v>
      </c>
      <c r="L75" s="182">
        <v>92</v>
      </c>
      <c r="M75" s="182">
        <v>99</v>
      </c>
      <c r="N75" s="182">
        <v>90</v>
      </c>
      <c r="O75" s="487">
        <v>104</v>
      </c>
      <c r="P75" s="487">
        <v>125</v>
      </c>
      <c r="Q75" s="508">
        <v>104</v>
      </c>
      <c r="R75" s="606">
        <v>93</v>
      </c>
      <c r="S75" s="91">
        <v>104</v>
      </c>
      <c r="T75" s="488">
        <v>126</v>
      </c>
      <c r="U75" s="182">
        <v>124</v>
      </c>
      <c r="V75" s="182">
        <v>135</v>
      </c>
      <c r="W75" s="182">
        <v>137</v>
      </c>
      <c r="X75" s="487">
        <v>144</v>
      </c>
      <c r="Y75" s="487">
        <v>152</v>
      </c>
      <c r="Z75" s="508">
        <v>148</v>
      </c>
      <c r="AA75" s="606">
        <v>145</v>
      </c>
      <c r="AB75" s="91">
        <v>138</v>
      </c>
    </row>
    <row r="76" spans="1:28">
      <c r="A76" s="123" t="str">
        <f t="shared" si="2"/>
        <v>Inverclyde</v>
      </c>
      <c r="B76" s="139">
        <v>33</v>
      </c>
      <c r="C76" s="78">
        <v>38</v>
      </c>
      <c r="D76" s="78">
        <v>53</v>
      </c>
      <c r="E76" s="78">
        <v>40</v>
      </c>
      <c r="F76" s="487">
        <v>41</v>
      </c>
      <c r="G76" s="487">
        <v>41</v>
      </c>
      <c r="H76" s="508">
        <v>46</v>
      </c>
      <c r="I76" s="606">
        <v>33</v>
      </c>
      <c r="J76" s="91">
        <v>29</v>
      </c>
      <c r="K76" s="488">
        <v>38</v>
      </c>
      <c r="L76" s="182">
        <v>44</v>
      </c>
      <c r="M76" s="182">
        <v>46</v>
      </c>
      <c r="N76" s="182">
        <v>60</v>
      </c>
      <c r="O76" s="487">
        <v>65</v>
      </c>
      <c r="P76" s="487">
        <v>55</v>
      </c>
      <c r="Q76" s="508">
        <v>49</v>
      </c>
      <c r="R76" s="606">
        <v>45</v>
      </c>
      <c r="S76" s="91">
        <v>44</v>
      </c>
      <c r="T76" s="488">
        <v>53</v>
      </c>
      <c r="U76" s="182">
        <v>67</v>
      </c>
      <c r="V76" s="182">
        <v>50</v>
      </c>
      <c r="W76" s="182">
        <v>44</v>
      </c>
      <c r="X76" s="487">
        <v>40</v>
      </c>
      <c r="Y76" s="487">
        <v>48</v>
      </c>
      <c r="Z76" s="508">
        <v>48</v>
      </c>
      <c r="AA76" s="606">
        <v>56</v>
      </c>
      <c r="AB76" s="91">
        <v>57</v>
      </c>
    </row>
    <row r="77" spans="1:28">
      <c r="A77" s="123" t="str">
        <f t="shared" si="2"/>
        <v>Midlothian</v>
      </c>
      <c r="B77" s="139">
        <v>39</v>
      </c>
      <c r="C77" s="78">
        <v>32</v>
      </c>
      <c r="D77" s="78">
        <v>56</v>
      </c>
      <c r="E77" s="78">
        <v>64</v>
      </c>
      <c r="F77" s="487">
        <v>55</v>
      </c>
      <c r="G77" s="487">
        <v>59</v>
      </c>
      <c r="H77" s="508">
        <v>47</v>
      </c>
      <c r="I77" s="606">
        <v>45</v>
      </c>
      <c r="J77" s="91">
        <v>50</v>
      </c>
      <c r="K77" s="488">
        <v>70</v>
      </c>
      <c r="L77" s="182">
        <v>87</v>
      </c>
      <c r="M77" s="182">
        <v>93</v>
      </c>
      <c r="N77" s="182">
        <v>76</v>
      </c>
      <c r="O77" s="487">
        <v>73</v>
      </c>
      <c r="P77" s="487">
        <v>71</v>
      </c>
      <c r="Q77" s="508">
        <v>63</v>
      </c>
      <c r="R77" s="606">
        <v>73</v>
      </c>
      <c r="S77" s="91">
        <v>70</v>
      </c>
      <c r="T77" s="488">
        <v>82</v>
      </c>
      <c r="U77" s="182">
        <v>90</v>
      </c>
      <c r="V77" s="182">
        <v>96</v>
      </c>
      <c r="W77" s="182">
        <v>61</v>
      </c>
      <c r="X77" s="487">
        <v>75</v>
      </c>
      <c r="Y77" s="487">
        <v>78</v>
      </c>
      <c r="Z77" s="508">
        <v>75</v>
      </c>
      <c r="AA77" s="606">
        <v>89</v>
      </c>
      <c r="AB77" s="91">
        <v>90</v>
      </c>
    </row>
    <row r="78" spans="1:28">
      <c r="A78" s="123" t="str">
        <f t="shared" si="2"/>
        <v>Moray</v>
      </c>
      <c r="B78" s="139">
        <v>25</v>
      </c>
      <c r="C78" s="78">
        <v>25</v>
      </c>
      <c r="D78" s="78">
        <v>38</v>
      </c>
      <c r="E78" s="78">
        <v>21</v>
      </c>
      <c r="F78" s="487">
        <v>27</v>
      </c>
      <c r="G78" s="487">
        <v>27</v>
      </c>
      <c r="H78" s="508">
        <v>30</v>
      </c>
      <c r="I78" s="606">
        <v>33</v>
      </c>
      <c r="J78" s="91">
        <v>33</v>
      </c>
      <c r="K78" s="488">
        <v>35</v>
      </c>
      <c r="L78" s="182">
        <v>41</v>
      </c>
      <c r="M78" s="182">
        <v>52</v>
      </c>
      <c r="N78" s="182">
        <v>48</v>
      </c>
      <c r="O78" s="487">
        <v>52</v>
      </c>
      <c r="P78" s="487">
        <v>58</v>
      </c>
      <c r="Q78" s="508">
        <v>46</v>
      </c>
      <c r="R78" s="606">
        <v>51</v>
      </c>
      <c r="S78" s="91">
        <v>50</v>
      </c>
      <c r="T78" s="488">
        <v>51</v>
      </c>
      <c r="U78" s="182">
        <v>50</v>
      </c>
      <c r="V78" s="182">
        <v>63</v>
      </c>
      <c r="W78" s="182">
        <v>62</v>
      </c>
      <c r="X78" s="487">
        <v>63</v>
      </c>
      <c r="Y78" s="487">
        <v>78</v>
      </c>
      <c r="Z78" s="508">
        <v>79</v>
      </c>
      <c r="AA78" s="606">
        <v>83</v>
      </c>
      <c r="AB78" s="91">
        <v>76</v>
      </c>
    </row>
    <row r="79" spans="1:28">
      <c r="A79" s="123" t="str">
        <f t="shared" si="2"/>
        <v>North Ayrshire</v>
      </c>
      <c r="B79" s="139">
        <v>54</v>
      </c>
      <c r="C79" s="78">
        <v>66</v>
      </c>
      <c r="D79" s="78">
        <v>79</v>
      </c>
      <c r="E79" s="78">
        <v>99</v>
      </c>
      <c r="F79" s="487">
        <v>102</v>
      </c>
      <c r="G79" s="487">
        <v>89</v>
      </c>
      <c r="H79" s="508">
        <v>79</v>
      </c>
      <c r="I79" s="606">
        <v>99</v>
      </c>
      <c r="J79" s="91">
        <v>108</v>
      </c>
      <c r="K79" s="488">
        <v>87</v>
      </c>
      <c r="L79" s="182">
        <v>87</v>
      </c>
      <c r="M79" s="182">
        <v>95</v>
      </c>
      <c r="N79" s="182">
        <v>121</v>
      </c>
      <c r="O79" s="487">
        <v>130</v>
      </c>
      <c r="P79" s="487">
        <v>142</v>
      </c>
      <c r="Q79" s="508">
        <v>142</v>
      </c>
      <c r="R79" s="606">
        <v>152</v>
      </c>
      <c r="S79" s="91">
        <v>156</v>
      </c>
      <c r="T79" s="488">
        <v>106</v>
      </c>
      <c r="U79" s="182">
        <v>99</v>
      </c>
      <c r="V79" s="182">
        <v>107</v>
      </c>
      <c r="W79" s="182">
        <v>124</v>
      </c>
      <c r="X79" s="487">
        <v>141</v>
      </c>
      <c r="Y79" s="487">
        <v>136</v>
      </c>
      <c r="Z79" s="508">
        <v>144</v>
      </c>
      <c r="AA79" s="606">
        <v>124</v>
      </c>
      <c r="AB79" s="91">
        <v>137</v>
      </c>
    </row>
    <row r="80" spans="1:28">
      <c r="A80" s="123" t="str">
        <f t="shared" si="2"/>
        <v>North Lanarkshire</v>
      </c>
      <c r="B80" s="139">
        <v>42</v>
      </c>
      <c r="C80" s="78">
        <v>45</v>
      </c>
      <c r="D80" s="78">
        <v>73</v>
      </c>
      <c r="E80" s="78">
        <v>36</v>
      </c>
      <c r="F80" s="487">
        <v>80</v>
      </c>
      <c r="G80" s="487">
        <v>70</v>
      </c>
      <c r="H80" s="508">
        <v>72</v>
      </c>
      <c r="I80" s="606">
        <v>75</v>
      </c>
      <c r="J80" s="91">
        <v>83</v>
      </c>
      <c r="K80" s="488">
        <v>67</v>
      </c>
      <c r="L80" s="182">
        <v>77</v>
      </c>
      <c r="M80" s="182">
        <v>127</v>
      </c>
      <c r="N80" s="182">
        <v>68</v>
      </c>
      <c r="O80" s="487">
        <v>183</v>
      </c>
      <c r="P80" s="487">
        <v>172</v>
      </c>
      <c r="Q80" s="508">
        <v>171</v>
      </c>
      <c r="R80" s="606">
        <v>184</v>
      </c>
      <c r="S80" s="91">
        <v>180</v>
      </c>
      <c r="T80" s="488">
        <v>81</v>
      </c>
      <c r="U80" s="182">
        <v>80</v>
      </c>
      <c r="V80" s="182">
        <v>108</v>
      </c>
      <c r="W80" s="182">
        <v>62</v>
      </c>
      <c r="X80" s="487">
        <v>122</v>
      </c>
      <c r="Y80" s="487">
        <v>114</v>
      </c>
      <c r="Z80" s="508">
        <v>146</v>
      </c>
      <c r="AA80" s="606">
        <v>159</v>
      </c>
      <c r="AB80" s="91">
        <v>168</v>
      </c>
    </row>
    <row r="81" spans="1:28">
      <c r="A81" s="123" t="str">
        <f t="shared" si="2"/>
        <v>Orkney Islands</v>
      </c>
      <c r="B81" s="139">
        <v>4</v>
      </c>
      <c r="C81" s="78">
        <v>8</v>
      </c>
      <c r="D81" s="78">
        <v>3</v>
      </c>
      <c r="E81" s="78">
        <v>4</v>
      </c>
      <c r="F81" s="487">
        <v>2</v>
      </c>
      <c r="G81" s="487">
        <v>2</v>
      </c>
      <c r="H81" s="508">
        <v>1</v>
      </c>
      <c r="I81" s="606">
        <v>7</v>
      </c>
      <c r="J81" s="91">
        <v>4</v>
      </c>
      <c r="K81" s="488">
        <v>2</v>
      </c>
      <c r="L81" s="182">
        <v>1</v>
      </c>
      <c r="M81" s="182">
        <v>2</v>
      </c>
      <c r="N81" s="182">
        <v>11</v>
      </c>
      <c r="O81" s="487">
        <v>7</v>
      </c>
      <c r="P81" s="487">
        <v>7</v>
      </c>
      <c r="Q81" s="508">
        <v>6</v>
      </c>
      <c r="R81" s="606">
        <v>7</v>
      </c>
      <c r="S81" s="91">
        <v>8</v>
      </c>
      <c r="T81" s="488">
        <v>6</v>
      </c>
      <c r="U81" s="182">
        <v>9</v>
      </c>
      <c r="V81" s="182">
        <v>5</v>
      </c>
      <c r="W81" s="182">
        <v>6</v>
      </c>
      <c r="X81" s="487">
        <v>6</v>
      </c>
      <c r="Y81" s="487">
        <v>8</v>
      </c>
      <c r="Z81" s="508">
        <v>11</v>
      </c>
      <c r="AA81" s="606">
        <v>15</v>
      </c>
      <c r="AB81" s="91">
        <v>14</v>
      </c>
    </row>
    <row r="82" spans="1:28">
      <c r="A82" s="123" t="str">
        <f t="shared" si="2"/>
        <v>Perth &amp; Kinross</v>
      </c>
      <c r="B82" s="139">
        <v>16</v>
      </c>
      <c r="C82" s="78">
        <v>19</v>
      </c>
      <c r="D82" s="78">
        <v>23</v>
      </c>
      <c r="E82" s="78">
        <v>24</v>
      </c>
      <c r="F82" s="487">
        <v>32</v>
      </c>
      <c r="G82" s="487">
        <v>34</v>
      </c>
      <c r="H82" s="508">
        <v>41</v>
      </c>
      <c r="I82" s="606">
        <v>44</v>
      </c>
      <c r="J82" s="91">
        <v>40</v>
      </c>
      <c r="K82" s="488">
        <v>40</v>
      </c>
      <c r="L82" s="182">
        <v>48</v>
      </c>
      <c r="M82" s="182">
        <v>45</v>
      </c>
      <c r="N82" s="182">
        <v>50</v>
      </c>
      <c r="O82" s="487">
        <v>56</v>
      </c>
      <c r="P82" s="487">
        <v>57</v>
      </c>
      <c r="Q82" s="508">
        <v>63</v>
      </c>
      <c r="R82" s="606">
        <v>79</v>
      </c>
      <c r="S82" s="91">
        <v>84</v>
      </c>
      <c r="T82" s="488">
        <v>51</v>
      </c>
      <c r="U82" s="182">
        <v>43</v>
      </c>
      <c r="V82" s="182">
        <v>56</v>
      </c>
      <c r="W82" s="182">
        <v>58</v>
      </c>
      <c r="X82" s="487">
        <v>64</v>
      </c>
      <c r="Y82" s="487">
        <v>74</v>
      </c>
      <c r="Z82" s="508">
        <v>83</v>
      </c>
      <c r="AA82" s="606">
        <v>85</v>
      </c>
      <c r="AB82" s="91">
        <v>87</v>
      </c>
    </row>
    <row r="83" spans="1:28">
      <c r="A83" s="123" t="str">
        <f t="shared" si="2"/>
        <v>Renfrewshire</v>
      </c>
      <c r="B83" s="139">
        <v>67</v>
      </c>
      <c r="C83" s="78">
        <v>74</v>
      </c>
      <c r="D83" s="78">
        <v>89</v>
      </c>
      <c r="E83" s="78">
        <v>97</v>
      </c>
      <c r="F83" s="487">
        <v>119</v>
      </c>
      <c r="G83" s="487">
        <v>117</v>
      </c>
      <c r="H83" s="508">
        <v>100</v>
      </c>
      <c r="I83" s="606">
        <v>95</v>
      </c>
      <c r="J83" s="91">
        <v>84</v>
      </c>
      <c r="K83" s="488">
        <v>170</v>
      </c>
      <c r="L83" s="182">
        <v>180</v>
      </c>
      <c r="M83" s="182">
        <v>181</v>
      </c>
      <c r="N83" s="182">
        <v>198</v>
      </c>
      <c r="O83" s="487">
        <v>206</v>
      </c>
      <c r="P83" s="487">
        <v>192</v>
      </c>
      <c r="Q83" s="508">
        <v>208</v>
      </c>
      <c r="R83" s="606">
        <v>180</v>
      </c>
      <c r="S83" s="91">
        <v>174</v>
      </c>
      <c r="T83" s="488">
        <v>154</v>
      </c>
      <c r="U83" s="182">
        <v>164</v>
      </c>
      <c r="V83" s="182">
        <v>194</v>
      </c>
      <c r="W83" s="182">
        <v>181</v>
      </c>
      <c r="X83" s="487">
        <v>188</v>
      </c>
      <c r="Y83" s="487">
        <v>205</v>
      </c>
      <c r="Z83" s="508">
        <v>218</v>
      </c>
      <c r="AA83" s="606">
        <v>203</v>
      </c>
      <c r="AB83" s="91">
        <v>202</v>
      </c>
    </row>
    <row r="84" spans="1:28">
      <c r="A84" s="123" t="str">
        <f t="shared" si="2"/>
        <v>Scottish Borders</v>
      </c>
      <c r="B84" s="139">
        <v>41</v>
      </c>
      <c r="C84" s="78">
        <v>29</v>
      </c>
      <c r="D84" s="78">
        <v>31</v>
      </c>
      <c r="E84" s="78">
        <v>31</v>
      </c>
      <c r="F84" s="487">
        <v>39</v>
      </c>
      <c r="G84" s="487">
        <v>30</v>
      </c>
      <c r="H84" s="508">
        <v>28</v>
      </c>
      <c r="I84" s="606">
        <v>31</v>
      </c>
      <c r="J84" s="91">
        <v>30</v>
      </c>
      <c r="K84" s="488">
        <v>34</v>
      </c>
      <c r="L84" s="182">
        <v>38</v>
      </c>
      <c r="M84" s="182">
        <v>43</v>
      </c>
      <c r="N84" s="182">
        <v>57</v>
      </c>
      <c r="O84" s="487">
        <v>54</v>
      </c>
      <c r="P84" s="487">
        <v>59</v>
      </c>
      <c r="Q84" s="508">
        <v>52</v>
      </c>
      <c r="R84" s="606">
        <v>49</v>
      </c>
      <c r="S84" s="91">
        <v>52</v>
      </c>
      <c r="T84" s="488">
        <v>53</v>
      </c>
      <c r="U84" s="182">
        <v>56</v>
      </c>
      <c r="V84" s="182">
        <v>51</v>
      </c>
      <c r="W84" s="182">
        <v>57</v>
      </c>
      <c r="X84" s="487">
        <v>67</v>
      </c>
      <c r="Y84" s="487">
        <v>66</v>
      </c>
      <c r="Z84" s="508">
        <v>61</v>
      </c>
      <c r="AA84" s="606">
        <v>77</v>
      </c>
      <c r="AB84" s="91">
        <v>89</v>
      </c>
    </row>
    <row r="85" spans="1:28">
      <c r="A85" s="123" t="str">
        <f t="shared" si="2"/>
        <v>Shetland Islands</v>
      </c>
      <c r="B85" s="139">
        <v>6</v>
      </c>
      <c r="C85" s="78">
        <v>7</v>
      </c>
      <c r="D85" s="78">
        <v>5</v>
      </c>
      <c r="E85" s="78">
        <v>4</v>
      </c>
      <c r="F85" s="487">
        <v>3</v>
      </c>
      <c r="G85" s="487">
        <v>4</v>
      </c>
      <c r="H85" s="508">
        <v>4</v>
      </c>
      <c r="I85" s="606">
        <v>4</v>
      </c>
      <c r="J85" s="91">
        <v>6</v>
      </c>
      <c r="K85" s="488">
        <v>4</v>
      </c>
      <c r="L85" s="182">
        <v>6</v>
      </c>
      <c r="M85" s="182">
        <v>6</v>
      </c>
      <c r="N85" s="182">
        <v>5</v>
      </c>
      <c r="O85" s="487">
        <v>4</v>
      </c>
      <c r="P85" s="487">
        <v>5</v>
      </c>
      <c r="Q85" s="508">
        <v>5</v>
      </c>
      <c r="R85" s="606">
        <v>5</v>
      </c>
      <c r="S85" s="91">
        <v>9</v>
      </c>
      <c r="T85" s="488">
        <v>9</v>
      </c>
      <c r="U85" s="182">
        <v>10</v>
      </c>
      <c r="V85" s="182">
        <v>11</v>
      </c>
      <c r="W85" s="182">
        <v>14</v>
      </c>
      <c r="X85" s="487">
        <v>12</v>
      </c>
      <c r="Y85" s="487">
        <v>10</v>
      </c>
      <c r="Z85" s="508">
        <v>8</v>
      </c>
      <c r="AA85" s="606">
        <v>7</v>
      </c>
      <c r="AB85" s="91">
        <v>8</v>
      </c>
    </row>
    <row r="86" spans="1:28">
      <c r="A86" s="123" t="str">
        <f t="shared" si="2"/>
        <v>South Ayrshire</v>
      </c>
      <c r="B86" s="139">
        <v>28</v>
      </c>
      <c r="C86" s="78">
        <v>33</v>
      </c>
      <c r="D86" s="78">
        <v>36</v>
      </c>
      <c r="E86" s="78">
        <v>39</v>
      </c>
      <c r="F86" s="487">
        <v>41</v>
      </c>
      <c r="G86" s="487">
        <v>37</v>
      </c>
      <c r="H86" s="508">
        <v>48</v>
      </c>
      <c r="I86" s="606">
        <v>46</v>
      </c>
      <c r="J86" s="91">
        <v>57</v>
      </c>
      <c r="K86" s="488">
        <v>54</v>
      </c>
      <c r="L86" s="182">
        <v>56</v>
      </c>
      <c r="M86" s="182">
        <v>63</v>
      </c>
      <c r="N86" s="182">
        <v>81</v>
      </c>
      <c r="O86" s="487">
        <v>91</v>
      </c>
      <c r="P86" s="487">
        <v>91</v>
      </c>
      <c r="Q86" s="508">
        <v>87</v>
      </c>
      <c r="R86" s="606">
        <v>92</v>
      </c>
      <c r="S86" s="91">
        <v>85</v>
      </c>
      <c r="T86" s="488">
        <v>72</v>
      </c>
      <c r="U86" s="182">
        <v>73</v>
      </c>
      <c r="V86" s="182">
        <v>68</v>
      </c>
      <c r="W86" s="182">
        <v>69</v>
      </c>
      <c r="X86" s="487">
        <v>72</v>
      </c>
      <c r="Y86" s="487">
        <v>75</v>
      </c>
      <c r="Z86" s="508">
        <v>84</v>
      </c>
      <c r="AA86" s="606">
        <v>94</v>
      </c>
      <c r="AB86" s="91">
        <v>101</v>
      </c>
    </row>
    <row r="87" spans="1:28">
      <c r="A87" s="123" t="str">
        <f t="shared" si="2"/>
        <v>South Lanarkshire</v>
      </c>
      <c r="B87" s="139">
        <v>33</v>
      </c>
      <c r="C87" s="78">
        <v>51</v>
      </c>
      <c r="D87" s="78">
        <v>65</v>
      </c>
      <c r="E87" s="78">
        <v>76</v>
      </c>
      <c r="F87" s="487">
        <v>82</v>
      </c>
      <c r="G87" s="487">
        <v>96</v>
      </c>
      <c r="H87" s="508">
        <v>84</v>
      </c>
      <c r="I87" s="606">
        <v>83</v>
      </c>
      <c r="J87" s="91">
        <v>86</v>
      </c>
      <c r="K87" s="488">
        <v>71</v>
      </c>
      <c r="L87" s="182">
        <v>74</v>
      </c>
      <c r="M87" s="182">
        <v>113</v>
      </c>
      <c r="N87" s="182">
        <v>114</v>
      </c>
      <c r="O87" s="487">
        <v>134</v>
      </c>
      <c r="P87" s="487">
        <v>128</v>
      </c>
      <c r="Q87" s="508">
        <v>134</v>
      </c>
      <c r="R87" s="606">
        <v>165</v>
      </c>
      <c r="S87" s="91">
        <v>146</v>
      </c>
      <c r="T87" s="488">
        <v>101</v>
      </c>
      <c r="U87" s="182">
        <v>108</v>
      </c>
      <c r="V87" s="182">
        <v>123</v>
      </c>
      <c r="W87" s="182">
        <v>132</v>
      </c>
      <c r="X87" s="487">
        <v>157</v>
      </c>
      <c r="Y87" s="487">
        <v>144</v>
      </c>
      <c r="Z87" s="508">
        <v>144</v>
      </c>
      <c r="AA87" s="606">
        <v>129</v>
      </c>
      <c r="AB87" s="91">
        <v>130</v>
      </c>
    </row>
    <row r="88" spans="1:28">
      <c r="A88" s="123" t="str">
        <f t="shared" si="2"/>
        <v>Stirling</v>
      </c>
      <c r="B88" s="139">
        <v>18</v>
      </c>
      <c r="C88" s="78">
        <v>22</v>
      </c>
      <c r="D88" s="78">
        <v>27</v>
      </c>
      <c r="E88" s="78">
        <v>32</v>
      </c>
      <c r="F88" s="487">
        <v>36</v>
      </c>
      <c r="G88" s="487">
        <v>32</v>
      </c>
      <c r="H88" s="508">
        <v>32</v>
      </c>
      <c r="I88" s="606">
        <v>23</v>
      </c>
      <c r="J88" s="91">
        <v>24</v>
      </c>
      <c r="K88" s="488">
        <v>46</v>
      </c>
      <c r="L88" s="182">
        <v>45</v>
      </c>
      <c r="M88" s="182">
        <v>39</v>
      </c>
      <c r="N88" s="182">
        <v>36</v>
      </c>
      <c r="O88" s="487">
        <v>44</v>
      </c>
      <c r="P88" s="487">
        <v>68</v>
      </c>
      <c r="Q88" s="508">
        <v>70</v>
      </c>
      <c r="R88" s="606">
        <v>69</v>
      </c>
      <c r="S88" s="91">
        <v>59</v>
      </c>
      <c r="T88" s="488">
        <v>62</v>
      </c>
      <c r="U88" s="182">
        <v>57</v>
      </c>
      <c r="V88" s="182">
        <v>57</v>
      </c>
      <c r="W88" s="182">
        <v>50</v>
      </c>
      <c r="X88" s="487">
        <v>57</v>
      </c>
      <c r="Y88" s="487">
        <v>61</v>
      </c>
      <c r="Z88" s="508">
        <v>74</v>
      </c>
      <c r="AA88" s="606">
        <v>73</v>
      </c>
      <c r="AB88" s="91">
        <v>69</v>
      </c>
    </row>
    <row r="89" spans="1:28">
      <c r="A89" s="123" t="str">
        <f t="shared" si="2"/>
        <v>West Dunbartonshire</v>
      </c>
      <c r="B89" s="139">
        <v>28</v>
      </c>
      <c r="C89" s="78">
        <v>35</v>
      </c>
      <c r="D89" s="78">
        <v>39</v>
      </c>
      <c r="E89" s="78">
        <v>43</v>
      </c>
      <c r="F89" s="487">
        <v>44</v>
      </c>
      <c r="G89" s="487">
        <v>53</v>
      </c>
      <c r="H89" s="508">
        <v>66</v>
      </c>
      <c r="I89" s="606">
        <v>60</v>
      </c>
      <c r="J89" s="91">
        <v>55</v>
      </c>
      <c r="K89" s="488">
        <v>59</v>
      </c>
      <c r="L89" s="182">
        <v>73</v>
      </c>
      <c r="M89" s="182">
        <v>74</v>
      </c>
      <c r="N89" s="182">
        <v>81</v>
      </c>
      <c r="O89" s="487">
        <v>86</v>
      </c>
      <c r="P89" s="487">
        <v>78</v>
      </c>
      <c r="Q89" s="508">
        <v>84</v>
      </c>
      <c r="R89" s="606">
        <v>86</v>
      </c>
      <c r="S89" s="91">
        <v>121</v>
      </c>
      <c r="T89" s="488">
        <v>87</v>
      </c>
      <c r="U89" s="182">
        <v>77</v>
      </c>
      <c r="V89" s="182">
        <v>80</v>
      </c>
      <c r="W89" s="182">
        <v>81</v>
      </c>
      <c r="X89" s="487">
        <v>85</v>
      </c>
      <c r="Y89" s="487">
        <v>86</v>
      </c>
      <c r="Z89" s="508">
        <v>87</v>
      </c>
      <c r="AA89" s="606">
        <v>77</v>
      </c>
      <c r="AB89" s="91">
        <v>101</v>
      </c>
    </row>
    <row r="90" spans="1:28">
      <c r="A90" s="123" t="str">
        <f t="shared" si="2"/>
        <v>West Lothian</v>
      </c>
      <c r="B90" s="139">
        <v>50</v>
      </c>
      <c r="C90" s="78">
        <v>57</v>
      </c>
      <c r="D90" s="78">
        <v>53</v>
      </c>
      <c r="E90" s="78">
        <v>52</v>
      </c>
      <c r="F90" s="487">
        <v>64</v>
      </c>
      <c r="G90" s="487">
        <v>68</v>
      </c>
      <c r="H90" s="508">
        <v>70</v>
      </c>
      <c r="I90" s="606">
        <v>62</v>
      </c>
      <c r="J90" s="91">
        <v>77</v>
      </c>
      <c r="K90" s="488">
        <v>107</v>
      </c>
      <c r="L90" s="182">
        <v>105</v>
      </c>
      <c r="M90" s="182">
        <v>104</v>
      </c>
      <c r="N90" s="182">
        <v>110</v>
      </c>
      <c r="O90" s="487">
        <v>100</v>
      </c>
      <c r="P90" s="487">
        <v>92</v>
      </c>
      <c r="Q90" s="508">
        <v>109</v>
      </c>
      <c r="R90" s="606">
        <v>108</v>
      </c>
      <c r="S90" s="91">
        <v>109</v>
      </c>
      <c r="T90" s="488">
        <v>104</v>
      </c>
      <c r="U90" s="182">
        <v>101</v>
      </c>
      <c r="V90" s="182">
        <v>99</v>
      </c>
      <c r="W90" s="182">
        <v>112</v>
      </c>
      <c r="X90" s="487">
        <v>112</v>
      </c>
      <c r="Y90" s="487">
        <v>105</v>
      </c>
      <c r="Z90" s="508">
        <v>118</v>
      </c>
      <c r="AA90" s="606">
        <v>119</v>
      </c>
      <c r="AB90" s="91">
        <v>120</v>
      </c>
    </row>
    <row r="91" spans="1:28" ht="13.5" thickBot="1">
      <c r="A91" s="124" t="str">
        <f t="shared" si="2"/>
        <v>Scotland</v>
      </c>
      <c r="B91" s="489">
        <v>1722</v>
      </c>
      <c r="C91" s="82">
        <v>1872</v>
      </c>
      <c r="D91" s="82">
        <v>2161</v>
      </c>
      <c r="E91" s="82">
        <v>2175</v>
      </c>
      <c r="F91" s="490">
        <v>2361</v>
      </c>
      <c r="G91" s="490">
        <v>2419</v>
      </c>
      <c r="H91" s="509">
        <v>2408</v>
      </c>
      <c r="I91" s="607">
        <v>2335</v>
      </c>
      <c r="J91" s="78">
        <v>2332</v>
      </c>
      <c r="K91" s="489">
        <v>2808</v>
      </c>
      <c r="L91" s="82">
        <v>3088</v>
      </c>
      <c r="M91" s="82">
        <v>3483</v>
      </c>
      <c r="N91" s="82">
        <v>3693</v>
      </c>
      <c r="O91" s="490">
        <v>4185</v>
      </c>
      <c r="P91" s="490">
        <v>4253</v>
      </c>
      <c r="Q91" s="509">
        <v>4201</v>
      </c>
      <c r="R91" s="607">
        <v>4255</v>
      </c>
      <c r="S91" s="78">
        <v>4180</v>
      </c>
      <c r="T91" s="489">
        <v>3356</v>
      </c>
      <c r="U91" s="82">
        <v>3420</v>
      </c>
      <c r="V91" s="82">
        <v>3602</v>
      </c>
      <c r="W91" s="82">
        <v>3693</v>
      </c>
      <c r="X91" s="490">
        <v>4068</v>
      </c>
      <c r="Y91" s="490">
        <v>4289</v>
      </c>
      <c r="Z91" s="509">
        <v>4527</v>
      </c>
      <c r="AA91" s="607">
        <v>4632</v>
      </c>
      <c r="AB91" s="78">
        <v>4726</v>
      </c>
    </row>
    <row r="92" spans="1:28">
      <c r="A92" s="167"/>
      <c r="B92" s="167"/>
      <c r="C92" s="167"/>
      <c r="D92" s="167"/>
      <c r="E92" s="167"/>
      <c r="F92" s="167"/>
      <c r="G92" s="167"/>
      <c r="H92" s="167"/>
      <c r="I92" s="167"/>
      <c r="J92" s="167"/>
      <c r="K92" s="167"/>
      <c r="L92" s="167"/>
      <c r="M92" s="167"/>
      <c r="N92" s="167"/>
      <c r="O92" s="167"/>
      <c r="P92" s="167"/>
      <c r="Q92" s="167"/>
      <c r="R92" s="167"/>
    </row>
    <row r="93" spans="1:28">
      <c r="A93" s="167"/>
      <c r="B93" s="167"/>
      <c r="C93" s="167"/>
      <c r="D93" s="167"/>
      <c r="E93" s="167"/>
      <c r="F93" s="168"/>
      <c r="G93" s="167"/>
      <c r="H93" s="167"/>
      <c r="I93" s="167"/>
      <c r="J93" s="167"/>
      <c r="K93" s="168"/>
      <c r="L93" s="167"/>
      <c r="M93" s="167"/>
      <c r="N93" s="167"/>
      <c r="O93" s="167"/>
      <c r="P93" s="168"/>
    </row>
    <row r="94" spans="1:28">
      <c r="A94" s="180" t="s">
        <v>276</v>
      </c>
      <c r="B94" s="167"/>
      <c r="C94" s="167"/>
      <c r="D94" s="167"/>
      <c r="E94" s="167"/>
      <c r="F94" s="168"/>
      <c r="G94" s="167"/>
      <c r="H94" s="167"/>
      <c r="I94" s="167"/>
      <c r="J94" s="167"/>
      <c r="K94" s="168"/>
      <c r="L94" s="167"/>
      <c r="M94" s="167"/>
      <c r="N94" s="167"/>
      <c r="O94" s="167"/>
      <c r="P94" s="168"/>
    </row>
    <row r="95" spans="1:28">
      <c r="A95" s="167"/>
      <c r="B95" s="167"/>
      <c r="C95" s="167"/>
      <c r="D95" s="167"/>
      <c r="E95" s="167"/>
      <c r="F95" s="168"/>
      <c r="G95" s="167"/>
      <c r="H95" s="167"/>
      <c r="I95" s="167"/>
      <c r="J95" s="167"/>
      <c r="K95" s="168"/>
      <c r="L95" s="167"/>
      <c r="M95" s="167"/>
      <c r="N95" s="167"/>
      <c r="O95" s="167"/>
      <c r="P95" s="168"/>
    </row>
    <row r="96" spans="1:28">
      <c r="A96" s="100"/>
      <c r="B96" s="766" t="s">
        <v>119</v>
      </c>
      <c r="C96" s="766"/>
      <c r="D96" s="766"/>
      <c r="E96" s="766" t="s">
        <v>118</v>
      </c>
      <c r="F96" s="766"/>
      <c r="G96" s="766"/>
      <c r="H96" s="167"/>
      <c r="I96" s="167"/>
      <c r="J96" s="167"/>
      <c r="K96" s="168"/>
      <c r="L96" s="167"/>
      <c r="M96" s="167"/>
      <c r="N96" s="167"/>
      <c r="O96" s="167"/>
      <c r="P96" s="168"/>
    </row>
    <row r="97" spans="1:16">
      <c r="A97" s="182" t="str">
        <f>A58</f>
        <v>Local Authority</v>
      </c>
      <c r="B97" s="182" t="s">
        <v>183</v>
      </c>
      <c r="C97" s="182" t="s">
        <v>184</v>
      </c>
      <c r="D97" s="182" t="s">
        <v>110</v>
      </c>
      <c r="E97" s="182" t="str">
        <f>B97</f>
        <v>At home</v>
      </c>
      <c r="F97" s="182" t="str">
        <f>C97</f>
        <v>Away from home</v>
      </c>
      <c r="G97" s="182" t="str">
        <f>D97</f>
        <v>Total</v>
      </c>
      <c r="H97" s="167"/>
      <c r="I97" s="167"/>
      <c r="J97" s="167" t="s">
        <v>104</v>
      </c>
      <c r="K97" s="167" t="s">
        <v>184</v>
      </c>
      <c r="L97" s="167" t="s">
        <v>183</v>
      </c>
      <c r="M97" s="167" t="s">
        <v>185</v>
      </c>
      <c r="N97" s="187" t="s">
        <v>190</v>
      </c>
      <c r="O97" s="187" t="s">
        <v>194</v>
      </c>
      <c r="P97" s="168" t="s">
        <v>197</v>
      </c>
    </row>
    <row r="98" spans="1:16">
      <c r="A98" s="182" t="str">
        <f t="shared" ref="A98:A130" si="3">A59</f>
        <v>Aberdeen City</v>
      </c>
      <c r="B98" s="510">
        <v>126</v>
      </c>
      <c r="C98" s="510">
        <v>423</v>
      </c>
      <c r="D98" s="510">
        <v>549</v>
      </c>
      <c r="E98" s="183">
        <f>(B98/'Population Figures'!AI5)*1000</f>
        <v>3.3519553072625698</v>
      </c>
      <c r="F98" s="183">
        <f>(C98/'Population Figures'!AI5)*1000</f>
        <v>11.252992817238628</v>
      </c>
      <c r="G98" s="183">
        <f>(D98/'Population Figures'!AI5)*1000</f>
        <v>14.604948124501197</v>
      </c>
      <c r="H98" s="181"/>
      <c r="I98" s="180"/>
      <c r="J98" s="418" t="s">
        <v>55</v>
      </c>
      <c r="K98" s="511">
        <v>7.8958304474303924</v>
      </c>
      <c r="L98" s="511">
        <v>1.3852334118298935</v>
      </c>
      <c r="M98" s="512">
        <v>9.2810638592602857</v>
      </c>
      <c r="N98" s="419">
        <f t="shared" ref="N98:N130" si="4">(K98/M98)</f>
        <v>0.85074626865671643</v>
      </c>
      <c r="O98" t="e">
        <f>IF($J98=Cover!$C$5,0,IF($J98="Scotland",0,NA()))</f>
        <v>#N/A</v>
      </c>
      <c r="P98">
        <f>IF($J98=Cover!$C$5,NA(),IF($J98="Scotland",NA(),0))</f>
        <v>0</v>
      </c>
    </row>
    <row r="99" spans="1:16">
      <c r="A99" s="182" t="str">
        <f t="shared" si="3"/>
        <v>Aberdeenshire</v>
      </c>
      <c r="B99" s="510">
        <v>110</v>
      </c>
      <c r="C99" s="510">
        <v>301</v>
      </c>
      <c r="D99" s="510">
        <v>411</v>
      </c>
      <c r="E99" s="183">
        <f>(B99/'Population Figures'!AI6)*1000</f>
        <v>2.0092058157375612</v>
      </c>
      <c r="F99" s="183">
        <f>(C99/'Population Figures'!AI6)*1000</f>
        <v>5.4979177321545984</v>
      </c>
      <c r="G99" s="183">
        <f>(D99/'Population Figures'!AI6)*1000</f>
        <v>7.507123547892161</v>
      </c>
      <c r="H99" s="181"/>
      <c r="I99" s="180"/>
      <c r="J99" s="418" t="s">
        <v>53</v>
      </c>
      <c r="K99" s="511">
        <v>7.4931638197379167</v>
      </c>
      <c r="L99" s="511">
        <v>1.5625554884761532</v>
      </c>
      <c r="M99" s="512">
        <v>9.055719308214071</v>
      </c>
      <c r="N99" s="419">
        <f t="shared" si="4"/>
        <v>0.82745098039215681</v>
      </c>
      <c r="O99" t="e">
        <f>IF($J99=Cover!$C$5,0,IF($J99="Scotland",0,NA()))</f>
        <v>#N/A</v>
      </c>
      <c r="P99">
        <f>IF($J99=Cover!$C$5,NA(),IF($J99="Scotland",NA(),0))</f>
        <v>0</v>
      </c>
    </row>
    <row r="100" spans="1:16">
      <c r="A100" s="182" t="str">
        <f t="shared" si="3"/>
        <v>Angus</v>
      </c>
      <c r="B100" s="510">
        <v>93</v>
      </c>
      <c r="C100" s="510">
        <v>168</v>
      </c>
      <c r="D100" s="510">
        <v>261</v>
      </c>
      <c r="E100" s="183">
        <f>(B100/'Population Figures'!AI7)*1000</f>
        <v>4.131313580027542</v>
      </c>
      <c r="F100" s="183">
        <f>(C100/'Population Figures'!AI7)*1000</f>
        <v>7.4630180800497534</v>
      </c>
      <c r="G100" s="183">
        <f>(D100/'Population Figures'!AI7)*1000</f>
        <v>11.594331660077296</v>
      </c>
      <c r="H100" s="181"/>
      <c r="I100" s="180"/>
      <c r="J100" s="418" t="s">
        <v>48</v>
      </c>
      <c r="K100" s="511">
        <v>11.402508551881414</v>
      </c>
      <c r="L100" s="511">
        <v>2.4433946896888745</v>
      </c>
      <c r="M100" s="512">
        <v>13.845903241570287</v>
      </c>
      <c r="N100" s="419">
        <f t="shared" si="4"/>
        <v>0.82352941176470595</v>
      </c>
      <c r="O100" t="e">
        <f>IF($J100=Cover!$C$5,0,IF($J100="Scotland",0,NA()))</f>
        <v>#N/A</v>
      </c>
      <c r="P100">
        <f>IF($J100=Cover!$C$5,NA(),IF($J100="Scotland",NA(),0))</f>
        <v>0</v>
      </c>
    </row>
    <row r="101" spans="1:16">
      <c r="A101" s="182" t="str">
        <f t="shared" si="3"/>
        <v>Argyll &amp; Bute</v>
      </c>
      <c r="B101" s="510">
        <v>49</v>
      </c>
      <c r="C101" s="510">
        <v>118</v>
      </c>
      <c r="D101" s="510">
        <v>167</v>
      </c>
      <c r="E101" s="183">
        <f>(B101/'Population Figures'!AI8)*1000</f>
        <v>3.1360000000000001</v>
      </c>
      <c r="F101" s="183">
        <f>(C101/'Population Figures'!AI8)*1000</f>
        <v>7.5519999999999996</v>
      </c>
      <c r="G101" s="183">
        <f>(D101/'Population Figures'!AI8)*1000</f>
        <v>10.687999999999999</v>
      </c>
      <c r="H101" s="181"/>
      <c r="I101" s="180"/>
      <c r="J101" s="418" t="s">
        <v>44</v>
      </c>
      <c r="K101" s="511">
        <v>11.564597720161546</v>
      </c>
      <c r="L101" s="511">
        <v>2.5362169016802434</v>
      </c>
      <c r="M101" s="512">
        <v>14.10081462184179</v>
      </c>
      <c r="N101" s="419">
        <f t="shared" si="4"/>
        <v>0.82013685239491685</v>
      </c>
      <c r="O101" t="e">
        <f>IF($J101=Cover!$C$5,0,IF($J101="Scotland",0,NA()))</f>
        <v>#N/A</v>
      </c>
      <c r="P101">
        <f>IF($J101=Cover!$C$5,NA(),IF($J101="Scotland",NA(),0))</f>
        <v>0</v>
      </c>
    </row>
    <row r="102" spans="1:16">
      <c r="A102" s="182" t="str">
        <f t="shared" si="3"/>
        <v>Clackmannanshire</v>
      </c>
      <c r="B102" s="510">
        <v>61</v>
      </c>
      <c r="C102" s="510">
        <v>141</v>
      </c>
      <c r="D102" s="510">
        <v>202</v>
      </c>
      <c r="E102" s="183">
        <f>(B102/'Population Figures'!AI9)*1000</f>
        <v>5.9200310559006208</v>
      </c>
      <c r="F102" s="183">
        <f>(C102/'Population Figures'!AI9)*1000</f>
        <v>13.684006211180124</v>
      </c>
      <c r="G102" s="183">
        <f>(D102/'Population Figures'!AI9)*1000</f>
        <v>19.604037267080745</v>
      </c>
      <c r="H102" s="181"/>
      <c r="I102" s="180"/>
      <c r="J102" s="418" t="s">
        <v>45</v>
      </c>
      <c r="K102" s="511">
        <v>24.467715065082476</v>
      </c>
      <c r="L102" s="511">
        <v>6.7462424253519577</v>
      </c>
      <c r="M102" s="512">
        <v>31.213957490434431</v>
      </c>
      <c r="N102" s="419">
        <f t="shared" si="4"/>
        <v>0.78387096774193554</v>
      </c>
      <c r="O102" t="e">
        <f>IF($J102=Cover!$C$5,0,IF($J102="Scotland",0,NA()))</f>
        <v>#N/A</v>
      </c>
      <c r="P102">
        <f>IF($J102=Cover!$C$5,NA(),IF($J102="Scotland",NA(),0))</f>
        <v>0</v>
      </c>
    </row>
    <row r="103" spans="1:16">
      <c r="A103" s="182" t="str">
        <f t="shared" si="3"/>
        <v>Dumfries &amp; Galloway</v>
      </c>
      <c r="B103" s="510">
        <v>172</v>
      </c>
      <c r="C103" s="510">
        <v>237</v>
      </c>
      <c r="D103" s="510">
        <v>409</v>
      </c>
      <c r="E103" s="183">
        <f>(B103/'Population Figures'!AI10)*1000</f>
        <v>6.2922992500457289</v>
      </c>
      <c r="F103" s="183">
        <f>(C103/'Population Figures'!AI10)*1000</f>
        <v>8.6702030364002187</v>
      </c>
      <c r="G103" s="183">
        <f>(D103/'Population Figures'!AI10)*1000</f>
        <v>14.962502286445948</v>
      </c>
      <c r="H103" s="181"/>
      <c r="I103" s="180"/>
      <c r="J103" s="418" t="s">
        <v>31</v>
      </c>
      <c r="K103" s="511">
        <v>11.252992817238628</v>
      </c>
      <c r="L103" s="511">
        <v>3.3519553072625698</v>
      </c>
      <c r="M103" s="512">
        <v>14.604948124501197</v>
      </c>
      <c r="N103" s="419">
        <f t="shared" si="4"/>
        <v>0.7704918032786886</v>
      </c>
      <c r="O103">
        <f>IF($J103=Cover!$C$5,0,IF($J103="Scotland",0,NA()))</f>
        <v>0</v>
      </c>
      <c r="P103" t="e">
        <f>IF($J103=Cover!$C$5,NA(),IF($J103="Scotland",NA(),0))</f>
        <v>#N/A</v>
      </c>
    </row>
    <row r="104" spans="1:16">
      <c r="A104" s="182" t="str">
        <f t="shared" si="3"/>
        <v>Dundee City</v>
      </c>
      <c r="B104" s="510">
        <v>136</v>
      </c>
      <c r="C104" s="510">
        <v>449</v>
      </c>
      <c r="D104" s="510">
        <v>585</v>
      </c>
      <c r="E104" s="183">
        <f>(B104/'Population Figures'!AI11)*1000</f>
        <v>5.0093926111458984</v>
      </c>
      <c r="F104" s="183">
        <f>(C104/'Population Figures'!AI11)*1000</f>
        <v>16.538362370621385</v>
      </c>
      <c r="G104" s="183">
        <f>(D104/'Population Figures'!AI11)*1000</f>
        <v>21.547754981767284</v>
      </c>
      <c r="H104" s="181"/>
      <c r="I104" s="180"/>
      <c r="J104" s="418" t="s">
        <v>37</v>
      </c>
      <c r="K104" s="511">
        <v>16.538362370621385</v>
      </c>
      <c r="L104" s="511">
        <v>5.0093926111458984</v>
      </c>
      <c r="M104" s="512">
        <v>21.547754981767284</v>
      </c>
      <c r="N104" s="419">
        <f t="shared" si="4"/>
        <v>0.76752136752136757</v>
      </c>
      <c r="O104" t="e">
        <f>IF($J104=Cover!$C$5,0,IF($J104="Scotland",0,NA()))</f>
        <v>#N/A</v>
      </c>
      <c r="P104">
        <f>IF($J104=Cover!$C$5,NA(),IF($J104="Scotland",NA(),0))</f>
        <v>0</v>
      </c>
    </row>
    <row r="105" spans="1:16">
      <c r="A105" s="182" t="str">
        <f t="shared" si="3"/>
        <v>East Ayrshire</v>
      </c>
      <c r="B105" s="510">
        <v>119</v>
      </c>
      <c r="C105" s="510">
        <v>342</v>
      </c>
      <c r="D105" s="510">
        <v>461</v>
      </c>
      <c r="E105" s="183">
        <f>(B105/'Population Figures'!AI12)*1000</f>
        <v>4.9398090493980904</v>
      </c>
      <c r="F105" s="183">
        <f>(C105/'Population Figures'!AI12)*1000</f>
        <v>14.196762141967621</v>
      </c>
      <c r="G105" s="183">
        <f>(D105/'Population Figures'!AI12)*1000</f>
        <v>19.136571191365714</v>
      </c>
      <c r="H105" s="181"/>
      <c r="I105" s="180"/>
      <c r="J105" s="418" t="s">
        <v>52</v>
      </c>
      <c r="K105" s="511">
        <v>6.482174021441037</v>
      </c>
      <c r="L105" s="511">
        <v>1.9945150835203191</v>
      </c>
      <c r="M105" s="512">
        <v>8.4766891049613555</v>
      </c>
      <c r="N105" s="419">
        <f t="shared" si="4"/>
        <v>0.76470588235294124</v>
      </c>
      <c r="O105" t="e">
        <f>IF($J105=Cover!$C$5,0,IF($J105="Scotland",0,NA()))</f>
        <v>#N/A</v>
      </c>
      <c r="P105">
        <f>IF($J105=Cover!$C$5,NA(),IF($J105="Scotland",NA(),0))</f>
        <v>0</v>
      </c>
    </row>
    <row r="106" spans="1:16">
      <c r="A106" s="182" t="str">
        <f t="shared" si="3"/>
        <v>East Dunbartonshire</v>
      </c>
      <c r="B106" s="510">
        <v>51</v>
      </c>
      <c r="C106" s="510">
        <v>122</v>
      </c>
      <c r="D106" s="510">
        <v>173</v>
      </c>
      <c r="E106" s="183">
        <f>(B106/'Population Figures'!AI13)*1000</f>
        <v>2.4231481921413978</v>
      </c>
      <c r="F106" s="183">
        <f>(C106/'Population Figures'!AI13)*1000</f>
        <v>5.7965505772794224</v>
      </c>
      <c r="G106" s="183">
        <f>(D106/'Population Figures'!AI13)*1000</f>
        <v>8.2196987694208197</v>
      </c>
      <c r="H106" s="181"/>
      <c r="I106" s="180"/>
      <c r="J106" s="418" t="s">
        <v>49</v>
      </c>
      <c r="K106" s="511">
        <v>8.3477713025673328</v>
      </c>
      <c r="L106" s="511">
        <v>2.6250853152727465</v>
      </c>
      <c r="M106" s="512">
        <v>10.97285661784008</v>
      </c>
      <c r="N106" s="419">
        <f t="shared" si="4"/>
        <v>0.76076555023923442</v>
      </c>
      <c r="O106" t="e">
        <f>IF($J106=Cover!$C$5,0,IF($J106="Scotland",0,NA()))</f>
        <v>#N/A</v>
      </c>
      <c r="P106">
        <f>IF($J106=Cover!$C$5,NA(),IF($J106="Scotland",NA(),0))</f>
        <v>0</v>
      </c>
    </row>
    <row r="107" spans="1:16">
      <c r="A107" s="182" t="str">
        <f t="shared" si="3"/>
        <v>East Lothian</v>
      </c>
      <c r="B107" s="510">
        <v>64</v>
      </c>
      <c r="C107" s="510">
        <v>146</v>
      </c>
      <c r="D107" s="510">
        <v>210</v>
      </c>
      <c r="E107" s="183">
        <f>(B107/'Population Figures'!AI14)*1000</f>
        <v>3.0076601344048122</v>
      </c>
      <c r="F107" s="183">
        <f>(C107/'Population Figures'!AI14)*1000</f>
        <v>6.8612246816109774</v>
      </c>
      <c r="G107" s="183">
        <f>(D107/'Population Figures'!AI14)*1000</f>
        <v>9.8688848160157914</v>
      </c>
      <c r="H107" s="181"/>
      <c r="I107" s="180"/>
      <c r="J107" s="418" t="s">
        <v>140</v>
      </c>
      <c r="K107" s="511">
        <v>12.604197457877625</v>
      </c>
      <c r="L107" s="511">
        <v>4.173810227608632</v>
      </c>
      <c r="M107" s="512">
        <v>16.778007685486255</v>
      </c>
      <c r="N107" s="419">
        <f t="shared" si="4"/>
        <v>0.75123326286116987</v>
      </c>
      <c r="O107" t="e">
        <f>IF($J107=Cover!$C$5,0,IF($J107="Scotland",0,NA()))</f>
        <v>#N/A</v>
      </c>
      <c r="P107">
        <f>IF($J107=Cover!$C$5,NA(),IF($J107="Scotland",NA(),0))</f>
        <v>0</v>
      </c>
    </row>
    <row r="108" spans="1:16">
      <c r="A108" s="182" t="str">
        <f t="shared" si="3"/>
        <v>East Renfrewshire</v>
      </c>
      <c r="B108" s="510">
        <v>75</v>
      </c>
      <c r="C108" s="510">
        <v>71</v>
      </c>
      <c r="D108" s="510">
        <v>146</v>
      </c>
      <c r="E108" s="183">
        <f>(B108/'Population Figures'!AI15)*1000</f>
        <v>3.6174215019534075</v>
      </c>
      <c r="F108" s="183">
        <f>(C108/'Population Figures'!AI15)*1000</f>
        <v>3.4244923551825592</v>
      </c>
      <c r="G108" s="183">
        <f>(D108/'Population Figures'!AI15)*1000</f>
        <v>7.0419138571359667</v>
      </c>
      <c r="H108" s="181"/>
      <c r="I108" s="180"/>
      <c r="J108" s="418" t="s">
        <v>38</v>
      </c>
      <c r="K108" s="511">
        <v>14.196762141967621</v>
      </c>
      <c r="L108" s="511">
        <v>4.9398090493980904</v>
      </c>
      <c r="M108" s="512">
        <v>19.136571191365714</v>
      </c>
      <c r="N108" s="419">
        <f t="shared" si="4"/>
        <v>0.74186550976138821</v>
      </c>
      <c r="O108" t="e">
        <f>IF($J108=Cover!$C$5,0,IF($J108="Scotland",0,NA()))</f>
        <v>#N/A</v>
      </c>
      <c r="P108">
        <f>IF($J108=Cover!$C$5,NA(),IF($J108="Scotland",NA(),0))</f>
        <v>0</v>
      </c>
    </row>
    <row r="109" spans="1:16">
      <c r="A109" s="182" t="str">
        <f t="shared" si="3"/>
        <v>Edinburgh</v>
      </c>
      <c r="B109" s="510">
        <v>353</v>
      </c>
      <c r="C109" s="510">
        <v>1066</v>
      </c>
      <c r="D109" s="510">
        <v>1419</v>
      </c>
      <c r="E109" s="183">
        <f>(B109/'Population Figures'!AI16)*1000</f>
        <v>4.173810227608632</v>
      </c>
      <c r="F109" s="183">
        <f>(C109/'Population Figures'!AI16)*1000</f>
        <v>12.604197457877625</v>
      </c>
      <c r="G109" s="183">
        <f>(D109/'Population Figures'!AI16)*1000</f>
        <v>16.778007685486255</v>
      </c>
      <c r="H109" s="181"/>
      <c r="I109" s="180"/>
      <c r="J109" s="418" t="s">
        <v>57</v>
      </c>
      <c r="K109" s="511">
        <v>11.886127959303463</v>
      </c>
      <c r="L109" s="511">
        <v>4.2555272940716105</v>
      </c>
      <c r="M109" s="512">
        <v>16.141655253375074</v>
      </c>
      <c r="N109" s="419">
        <f t="shared" si="4"/>
        <v>0.73636363636363633</v>
      </c>
      <c r="O109" t="e">
        <f>IF($J109=Cover!$C$5,0,IF($J109="Scotland",0,NA()))</f>
        <v>#N/A</v>
      </c>
      <c r="P109">
        <f>IF($J109=Cover!$C$5,NA(),IF($J109="Scotland",NA(),0))</f>
        <v>0</v>
      </c>
    </row>
    <row r="110" spans="1:16">
      <c r="A110" s="182" t="str">
        <f t="shared" si="3"/>
        <v>Eilean Siar</v>
      </c>
      <c r="B110" s="510">
        <v>18</v>
      </c>
      <c r="C110" s="510">
        <v>29</v>
      </c>
      <c r="D110" s="510">
        <v>47</v>
      </c>
      <c r="E110" s="183">
        <f>(B110/'Population Figures'!AI17)*1000</f>
        <v>3.5749751737835154</v>
      </c>
      <c r="F110" s="183">
        <f>(C110/'Population Figures'!AI17)*1000</f>
        <v>5.7596822244289978</v>
      </c>
      <c r="G110" s="183">
        <f>(D110/'Population Figures'!AI17)*1000</f>
        <v>9.3346573982125136</v>
      </c>
      <c r="H110" s="181"/>
      <c r="I110" s="180"/>
      <c r="J110" s="418" t="s">
        <v>32</v>
      </c>
      <c r="K110" s="511">
        <v>5.4979177321545984</v>
      </c>
      <c r="L110" s="511">
        <v>2.0092058157375612</v>
      </c>
      <c r="M110" s="512">
        <v>7.507123547892161</v>
      </c>
      <c r="N110" s="419">
        <f t="shared" si="4"/>
        <v>0.73236009732360086</v>
      </c>
      <c r="O110" t="e">
        <f>IF($J110=Cover!$C$5,0,IF($J110="Scotland",0,NA()))</f>
        <v>#N/A</v>
      </c>
      <c r="P110">
        <f>IF($J110=Cover!$C$5,NA(),IF($J110="Scotland",NA(),0))</f>
        <v>0</v>
      </c>
    </row>
    <row r="111" spans="1:16">
      <c r="A111" s="182" t="str">
        <f t="shared" si="3"/>
        <v>Falkirk</v>
      </c>
      <c r="B111" s="510">
        <v>119</v>
      </c>
      <c r="C111" s="510">
        <v>245</v>
      </c>
      <c r="D111" s="510">
        <v>364</v>
      </c>
      <c r="E111" s="183">
        <f>(B111/'Population Figures'!AI18)*1000</f>
        <v>3.7270193241254033</v>
      </c>
      <c r="F111" s="183">
        <f>(C111/'Population Figures'!AI18)*1000</f>
        <v>7.673275079081713</v>
      </c>
      <c r="G111" s="183">
        <f>(D111/'Population Figures'!AI18)*1000</f>
        <v>11.400294403207115</v>
      </c>
      <c r="H111" s="181"/>
      <c r="I111" s="180"/>
      <c r="J111" s="418" t="s">
        <v>5</v>
      </c>
      <c r="K111" s="511">
        <v>10.877066308679101</v>
      </c>
      <c r="L111" s="511">
        <v>4.0321995232209593</v>
      </c>
      <c r="M111" s="512">
        <v>14.909265831900061</v>
      </c>
      <c r="N111" s="419">
        <f t="shared" si="4"/>
        <v>0.72955076603479607</v>
      </c>
      <c r="O111">
        <f>IF($J111=Cover!$C$5,0,IF($J111="Scotland",0,NA()))</f>
        <v>0</v>
      </c>
      <c r="P111" t="e">
        <f>IF($J111=Cover!$C$5,NA(),IF($J111="Scotland",NA(),0))</f>
        <v>#N/A</v>
      </c>
    </row>
    <row r="112" spans="1:16">
      <c r="A112" s="182" t="str">
        <f t="shared" si="3"/>
        <v>Fife</v>
      </c>
      <c r="B112" s="510">
        <v>184</v>
      </c>
      <c r="C112" s="510">
        <v>839</v>
      </c>
      <c r="D112" s="510">
        <v>1023</v>
      </c>
      <c r="E112" s="183">
        <f>(B112/'Population Figures'!AI19)*1000</f>
        <v>2.5362169016802434</v>
      </c>
      <c r="F112" s="183">
        <f>(C112/'Population Figures'!AI19)*1000</f>
        <v>11.564597720161546</v>
      </c>
      <c r="G112" s="183">
        <f>(D112/'Population Figures'!AI19)*1000</f>
        <v>14.10081462184179</v>
      </c>
      <c r="H112" s="181"/>
      <c r="I112" s="180"/>
      <c r="J112" s="418" t="s">
        <v>60</v>
      </c>
      <c r="K112" s="511">
        <v>15.594212689297979</v>
      </c>
      <c r="L112" s="511">
        <v>6.1363508416371113</v>
      </c>
      <c r="M112" s="512">
        <v>21.73056353093509</v>
      </c>
      <c r="N112" s="419">
        <f t="shared" si="4"/>
        <v>0.71761658031088082</v>
      </c>
      <c r="O112" t="e">
        <f>IF($J112=Cover!$C$5,0,IF($J112="Scotland",0,NA()))</f>
        <v>#N/A</v>
      </c>
      <c r="P112">
        <f>IF($J112=Cover!$C$5,NA(),IF($J112="Scotland",NA(),0))</f>
        <v>0</v>
      </c>
    </row>
    <row r="113" spans="1:16">
      <c r="A113" s="182" t="str">
        <f t="shared" si="3"/>
        <v>Glasgow City</v>
      </c>
      <c r="B113" s="510">
        <v>737</v>
      </c>
      <c r="C113" s="510">
        <v>2673</v>
      </c>
      <c r="D113" s="510">
        <v>3410</v>
      </c>
      <c r="E113" s="183">
        <f>(B113/'Population Figures'!AI20)*1000</f>
        <v>6.7462424253519577</v>
      </c>
      <c r="F113" s="183">
        <f>(C113/'Population Figures'!AI20)*1000</f>
        <v>24.467715065082476</v>
      </c>
      <c r="G113" s="183">
        <f>(D113/'Population Figures'!AI20)*1000</f>
        <v>31.213957490434431</v>
      </c>
      <c r="H113" s="181"/>
      <c r="I113" s="180"/>
      <c r="J113" s="418" t="s">
        <v>34</v>
      </c>
      <c r="K113" s="511">
        <v>7.5519999999999996</v>
      </c>
      <c r="L113" s="511">
        <v>3.1360000000000001</v>
      </c>
      <c r="M113" s="512">
        <v>10.687999999999999</v>
      </c>
      <c r="N113" s="419">
        <f t="shared" si="4"/>
        <v>0.70658682634730541</v>
      </c>
      <c r="O113" t="e">
        <f>IF($J113=Cover!$C$5,0,IF($J113="Scotland",0,NA()))</f>
        <v>#N/A</v>
      </c>
      <c r="P113">
        <f>IF($J113=Cover!$C$5,NA(),IF($J113="Scotland",NA(),0))</f>
        <v>0</v>
      </c>
    </row>
    <row r="114" spans="1:16">
      <c r="A114" s="182" t="str">
        <f t="shared" si="3"/>
        <v>Highland</v>
      </c>
      <c r="B114" s="510">
        <v>131</v>
      </c>
      <c r="C114" s="510">
        <v>306</v>
      </c>
      <c r="D114" s="510">
        <v>437</v>
      </c>
      <c r="E114" s="183">
        <f>(B114/'Population Figures'!AI21)*1000</f>
        <v>2.8801336733796497</v>
      </c>
      <c r="F114" s="183">
        <f>(C114/'Population Figures'!AI21)*1000</f>
        <v>6.7276404889631518</v>
      </c>
      <c r="G114" s="183">
        <f>(D114/'Population Figures'!AI21)*1000</f>
        <v>9.6077741623428015</v>
      </c>
      <c r="H114" s="181"/>
      <c r="I114" s="180"/>
      <c r="J114" s="418" t="s">
        <v>39</v>
      </c>
      <c r="K114" s="511">
        <v>5.7965505772794224</v>
      </c>
      <c r="L114" s="511">
        <v>2.4231481921413978</v>
      </c>
      <c r="M114" s="512">
        <v>8.2196987694208197</v>
      </c>
      <c r="N114" s="419">
        <f t="shared" si="4"/>
        <v>0.70520231213872842</v>
      </c>
      <c r="O114" t="e">
        <f>IF($J114=Cover!$C$5,0,IF($J114="Scotland",0,NA()))</f>
        <v>#N/A</v>
      </c>
      <c r="P114">
        <f>IF($J114=Cover!$C$5,NA(),IF($J114="Scotland",NA(),0))</f>
        <v>0</v>
      </c>
    </row>
    <row r="115" spans="1:16">
      <c r="A115" s="182" t="str">
        <f t="shared" si="3"/>
        <v>Inverclyde</v>
      </c>
      <c r="B115" s="510">
        <v>79</v>
      </c>
      <c r="C115" s="510">
        <v>130</v>
      </c>
      <c r="D115" s="510">
        <v>209</v>
      </c>
      <c r="E115" s="183">
        <f>(B115/'Population Figures'!AI22)*1000</f>
        <v>5.2729942597784003</v>
      </c>
      <c r="F115" s="183">
        <f>(C115/'Population Figures'!AI22)*1000</f>
        <v>8.6770791616606591</v>
      </c>
      <c r="G115" s="183">
        <f>(D115/'Population Figures'!AI22)*1000</f>
        <v>13.950073421439061</v>
      </c>
      <c r="H115" s="181"/>
      <c r="I115" s="180"/>
      <c r="J115" s="418" t="s">
        <v>61</v>
      </c>
      <c r="K115" s="511">
        <v>7.7466393255866945</v>
      </c>
      <c r="L115" s="511">
        <v>3.240424293055872</v>
      </c>
      <c r="M115" s="512">
        <v>10.987063618642566</v>
      </c>
      <c r="N115" s="419">
        <f t="shared" si="4"/>
        <v>0.70506912442396319</v>
      </c>
      <c r="O115" t="e">
        <f>IF($J115=Cover!$C$5,0,IF($J115="Scotland",0,NA()))</f>
        <v>#N/A</v>
      </c>
      <c r="P115">
        <f>IF($J115=Cover!$C$5,NA(),IF($J115="Scotland",NA(),0))</f>
        <v>0</v>
      </c>
    </row>
    <row r="116" spans="1:16">
      <c r="A116" s="182" t="str">
        <f t="shared" si="3"/>
        <v>Midlothian</v>
      </c>
      <c r="B116" s="510">
        <v>45</v>
      </c>
      <c r="C116" s="510">
        <v>210</v>
      </c>
      <c r="D116" s="510">
        <v>255</v>
      </c>
      <c r="E116" s="183">
        <f>(B116/'Population Figures'!AI23)*1000</f>
        <v>2.4433946896888745</v>
      </c>
      <c r="F116" s="183">
        <f>(C116/'Population Figures'!AI23)*1000</f>
        <v>11.402508551881414</v>
      </c>
      <c r="G116" s="183">
        <f>(D116/'Population Figures'!AI23)*1000</f>
        <v>13.845903241570287</v>
      </c>
      <c r="H116" s="181"/>
      <c r="I116" s="180"/>
      <c r="J116" s="418" t="s">
        <v>59</v>
      </c>
      <c r="K116" s="511">
        <v>8.4280565566953154</v>
      </c>
      <c r="L116" s="511">
        <v>3.5486553922927642</v>
      </c>
      <c r="M116" s="512">
        <v>11.976711948988079</v>
      </c>
      <c r="N116" s="419">
        <f t="shared" si="4"/>
        <v>0.70370370370370372</v>
      </c>
      <c r="O116" t="e">
        <f>IF($J116=Cover!$C$5,0,IF($J116="Scotland",0,NA()))</f>
        <v>#N/A</v>
      </c>
      <c r="P116">
        <f>IF($J116=Cover!$C$5,NA(),IF($J116="Scotland",NA(),0))</f>
        <v>0</v>
      </c>
    </row>
    <row r="117" spans="1:16">
      <c r="A117" s="182" t="str">
        <f t="shared" si="3"/>
        <v>Moray</v>
      </c>
      <c r="B117" s="510">
        <v>50</v>
      </c>
      <c r="C117" s="510">
        <v>159</v>
      </c>
      <c r="D117" s="510">
        <v>209</v>
      </c>
      <c r="E117" s="183">
        <f>(B117/'Population Figures'!AI24)*1000</f>
        <v>2.6250853152727465</v>
      </c>
      <c r="F117" s="183">
        <f>(C117/'Population Figures'!AI24)*1000</f>
        <v>8.3477713025673328</v>
      </c>
      <c r="G117" s="183">
        <f>(D117/'Population Figures'!AI24)*1000</f>
        <v>10.97285661784008</v>
      </c>
      <c r="H117" s="181"/>
      <c r="I117" s="180"/>
      <c r="J117" s="418" t="s">
        <v>46</v>
      </c>
      <c r="K117" s="511">
        <v>6.7276404889631518</v>
      </c>
      <c r="L117" s="511">
        <v>2.8801336733796497</v>
      </c>
      <c r="M117" s="512">
        <v>9.6077741623428015</v>
      </c>
      <c r="N117" s="419">
        <f t="shared" si="4"/>
        <v>0.70022883295194516</v>
      </c>
      <c r="O117" t="e">
        <f>IF($J117=Cover!$C$5,0,IF($J117="Scotland",0,NA()))</f>
        <v>#N/A</v>
      </c>
      <c r="P117">
        <f>IF($J117=Cover!$C$5,NA(),IF($J117="Scotland",NA(),0))</f>
        <v>0</v>
      </c>
    </row>
    <row r="118" spans="1:16">
      <c r="A118" s="182" t="str">
        <f t="shared" si="3"/>
        <v>North Ayrshire</v>
      </c>
      <c r="B118" s="510">
        <v>238</v>
      </c>
      <c r="C118" s="510">
        <v>401</v>
      </c>
      <c r="D118" s="510">
        <v>639</v>
      </c>
      <c r="E118" s="183">
        <f>(B118/'Population Figures'!AI25)*1000</f>
        <v>8.8988595999252187</v>
      </c>
      <c r="F118" s="183">
        <f>(C118/'Population Figures'!AI25)*1000</f>
        <v>14.993456720882408</v>
      </c>
      <c r="G118" s="183">
        <f>(D118/'Population Figures'!AI25)*1000</f>
        <v>23.892316320807627</v>
      </c>
      <c r="H118" s="181"/>
      <c r="I118" s="180"/>
      <c r="J118" s="418" t="s">
        <v>35</v>
      </c>
      <c r="K118" s="511">
        <v>13.684006211180124</v>
      </c>
      <c r="L118" s="511">
        <v>5.9200310559006208</v>
      </c>
      <c r="M118" s="512">
        <v>19.604037267080745</v>
      </c>
      <c r="N118" s="419">
        <f t="shared" si="4"/>
        <v>0.69801980198019797</v>
      </c>
      <c r="O118" t="e">
        <f>IF($J118=Cover!$C$5,0,IF($J118="Scotland",0,NA()))</f>
        <v>#N/A</v>
      </c>
      <c r="P118">
        <f>IF($J118=Cover!$C$5,NA(),IF($J118="Scotland",NA(),0))</f>
        <v>0</v>
      </c>
    </row>
    <row r="119" spans="1:16">
      <c r="A119" s="182" t="str">
        <f t="shared" si="3"/>
        <v>North Lanarkshire</v>
      </c>
      <c r="B119" s="510">
        <v>266</v>
      </c>
      <c r="C119" s="510">
        <v>431</v>
      </c>
      <c r="D119" s="510">
        <v>697</v>
      </c>
      <c r="E119" s="183">
        <f>(B119/'Population Figures'!AI26)*1000</f>
        <v>3.6929057337220605</v>
      </c>
      <c r="F119" s="183">
        <f>(C119/'Population Figures'!AI26)*1000</f>
        <v>5.983617936970707</v>
      </c>
      <c r="G119" s="183">
        <f>(D119/'Population Figures'!AI26)*1000</f>
        <v>9.6765236706927666</v>
      </c>
      <c r="H119" s="181"/>
      <c r="I119" s="180"/>
      <c r="J119" s="418" t="s">
        <v>40</v>
      </c>
      <c r="K119" s="511">
        <v>6.8612246816109774</v>
      </c>
      <c r="L119" s="511">
        <v>3.0076601344048122</v>
      </c>
      <c r="M119" s="512">
        <v>9.8688848160157914</v>
      </c>
      <c r="N119" s="419">
        <f t="shared" si="4"/>
        <v>0.6952380952380951</v>
      </c>
      <c r="O119" t="e">
        <f>IF($J119=Cover!$C$5,0,IF($J119="Scotland",0,NA()))</f>
        <v>#N/A</v>
      </c>
      <c r="P119">
        <f>IF($J119=Cover!$C$5,NA(),IF($J119="Scotland",NA(),0))</f>
        <v>0</v>
      </c>
    </row>
    <row r="120" spans="1:16">
      <c r="A120" s="182" t="str">
        <f t="shared" si="3"/>
        <v>Orkney Islands</v>
      </c>
      <c r="B120" s="510">
        <v>8</v>
      </c>
      <c r="C120" s="510">
        <v>26</v>
      </c>
      <c r="D120" s="510">
        <v>34</v>
      </c>
      <c r="E120" s="183">
        <f>(B120/'Population Figures'!AI27)*1000</f>
        <v>1.9945150835203191</v>
      </c>
      <c r="F120" s="183">
        <f>(C120/'Population Figures'!AI27)*1000</f>
        <v>6.482174021441037</v>
      </c>
      <c r="G120" s="183">
        <f>(D120/'Population Figures'!AI27)*1000</f>
        <v>8.4766891049613555</v>
      </c>
      <c r="H120" s="181"/>
      <c r="I120" s="180"/>
      <c r="J120" s="418" t="s">
        <v>54</v>
      </c>
      <c r="K120" s="511">
        <v>13.4968605128807</v>
      </c>
      <c r="L120" s="511">
        <v>6.5137022475206852</v>
      </c>
      <c r="M120" s="512">
        <v>20.010562760401385</v>
      </c>
      <c r="N120" s="419">
        <f t="shared" si="4"/>
        <v>0.67448680351906154</v>
      </c>
      <c r="O120" t="e">
        <f>IF($J120=Cover!$C$5,0,IF($J120="Scotland",0,NA()))</f>
        <v>#N/A</v>
      </c>
      <c r="P120">
        <f>IF($J120=Cover!$C$5,NA(),IF($J120="Scotland",NA(),0))</f>
        <v>0</v>
      </c>
    </row>
    <row r="121" spans="1:16">
      <c r="A121" s="182" t="str">
        <f t="shared" si="3"/>
        <v>Perth &amp; Kinross</v>
      </c>
      <c r="B121" s="510">
        <v>44</v>
      </c>
      <c r="C121" s="510">
        <v>211</v>
      </c>
      <c r="D121" s="510">
        <v>255</v>
      </c>
      <c r="E121" s="183">
        <f>(B121/'Population Figures'!AI28)*1000</f>
        <v>1.5625554884761532</v>
      </c>
      <c r="F121" s="183">
        <f>(C121/'Population Figures'!AI28)*1000</f>
        <v>7.4931638197379167</v>
      </c>
      <c r="G121" s="183">
        <f>(D121/'Population Figures'!AI28)*1000</f>
        <v>9.055719308214071</v>
      </c>
      <c r="H121" s="181"/>
      <c r="I121" s="180"/>
      <c r="J121" s="418" t="s">
        <v>43</v>
      </c>
      <c r="K121" s="511">
        <v>7.673275079081713</v>
      </c>
      <c r="L121" s="511">
        <v>3.7270193241254033</v>
      </c>
      <c r="M121" s="512">
        <v>11.400294403207115</v>
      </c>
      <c r="N121" s="419">
        <f t="shared" si="4"/>
        <v>0.67307692307692324</v>
      </c>
      <c r="O121" t="e">
        <f>IF($J121=Cover!$C$5,0,IF($J121="Scotland",0,NA()))</f>
        <v>#N/A</v>
      </c>
      <c r="P121">
        <f>IF($J121=Cover!$C$5,NA(),IF($J121="Scotland",NA(),0))</f>
        <v>0</v>
      </c>
    </row>
    <row r="122" spans="1:16">
      <c r="A122" s="182" t="str">
        <f t="shared" si="3"/>
        <v>Renfrewshire</v>
      </c>
      <c r="B122" s="510">
        <v>222</v>
      </c>
      <c r="C122" s="510">
        <v>460</v>
      </c>
      <c r="D122" s="510">
        <v>682</v>
      </c>
      <c r="E122" s="183">
        <f>(B122/'Population Figures'!AI29)*1000</f>
        <v>6.5137022475206852</v>
      </c>
      <c r="F122" s="183">
        <f>(C122/'Population Figures'!AI29)*1000</f>
        <v>13.4968605128807</v>
      </c>
      <c r="G122" s="183">
        <f>(D122/'Population Figures'!AI29)*1000</f>
        <v>20.010562760401385</v>
      </c>
      <c r="H122" s="181"/>
      <c r="I122" s="180"/>
      <c r="J122" s="418" t="s">
        <v>58</v>
      </c>
      <c r="K122" s="511">
        <v>5.8194678884334055</v>
      </c>
      <c r="L122" s="511">
        <v>2.9901133349409212</v>
      </c>
      <c r="M122" s="512">
        <v>8.8095812233743267</v>
      </c>
      <c r="N122" s="419">
        <f t="shared" si="4"/>
        <v>0.66058394160583944</v>
      </c>
      <c r="O122" t="e">
        <f>IF($J122=Cover!$C$5,0,IF($J122="Scotland",0,NA()))</f>
        <v>#N/A</v>
      </c>
      <c r="P122">
        <f>IF($J122=Cover!$C$5,NA(),IF($J122="Scotland",NA(),0))</f>
        <v>0</v>
      </c>
    </row>
    <row r="123" spans="1:16">
      <c r="A123" s="182" t="str">
        <f t="shared" si="3"/>
        <v>Scottish Borders</v>
      </c>
      <c r="B123" s="510">
        <v>30</v>
      </c>
      <c r="C123" s="510">
        <v>171</v>
      </c>
      <c r="D123" s="510">
        <v>201</v>
      </c>
      <c r="E123" s="183">
        <f>(B123/'Population Figures'!AI30)*1000</f>
        <v>1.3852334118298935</v>
      </c>
      <c r="F123" s="183">
        <f>(C123/'Population Figures'!AI30)*1000</f>
        <v>7.8958304474303924</v>
      </c>
      <c r="G123" s="183">
        <f>(D123/'Population Figures'!AI30)*1000</f>
        <v>9.2810638592602857</v>
      </c>
      <c r="H123" s="181"/>
      <c r="I123" s="180"/>
      <c r="J123" s="418" t="s">
        <v>56</v>
      </c>
      <c r="K123" s="511">
        <v>4.7169811320754711</v>
      </c>
      <c r="L123" s="511">
        <v>2.4610336341263332</v>
      </c>
      <c r="M123" s="512">
        <v>7.1780147662018052</v>
      </c>
      <c r="N123" s="419">
        <f t="shared" si="4"/>
        <v>0.65714285714285703</v>
      </c>
      <c r="O123" t="e">
        <f>IF($J123=Cover!$C$5,0,IF($J123="Scotland",0,NA()))</f>
        <v>#N/A</v>
      </c>
      <c r="P123">
        <f>IF($J123=Cover!$C$5,NA(),IF($J123="Scotland",NA(),0))</f>
        <v>0</v>
      </c>
    </row>
    <row r="124" spans="1:16">
      <c r="A124" s="182" t="str">
        <f t="shared" si="3"/>
        <v>Shetland Islands</v>
      </c>
      <c r="B124" s="510">
        <v>12</v>
      </c>
      <c r="C124" s="510">
        <v>23</v>
      </c>
      <c r="D124" s="510">
        <v>35</v>
      </c>
      <c r="E124" s="183">
        <f>(B124/'Population Figures'!AI31)*1000</f>
        <v>2.4610336341263332</v>
      </c>
      <c r="F124" s="183">
        <f>(C124/'Population Figures'!AI31)*1000</f>
        <v>4.7169811320754711</v>
      </c>
      <c r="G124" s="183">
        <f>(D124/'Population Figures'!AI31)*1000</f>
        <v>7.1780147662018052</v>
      </c>
      <c r="H124" s="181"/>
      <c r="I124" s="180"/>
      <c r="J124" s="418" t="s">
        <v>33</v>
      </c>
      <c r="K124" s="511">
        <v>7.4630180800497534</v>
      </c>
      <c r="L124" s="511">
        <v>4.131313580027542</v>
      </c>
      <c r="M124" s="512">
        <v>11.594331660077296</v>
      </c>
      <c r="N124" s="419">
        <f t="shared" si="4"/>
        <v>0.64367816091954022</v>
      </c>
      <c r="O124" t="e">
        <f>IF($J124=Cover!$C$5,0,IF($J124="Scotland",0,NA()))</f>
        <v>#N/A</v>
      </c>
      <c r="P124">
        <f>IF($J124=Cover!$C$5,NA(),IF($J124="Scotland",NA(),0))</f>
        <v>0</v>
      </c>
    </row>
    <row r="125" spans="1:16">
      <c r="A125" s="182" t="str">
        <f t="shared" si="3"/>
        <v>South Ayrshire</v>
      </c>
      <c r="B125" s="510">
        <v>87</v>
      </c>
      <c r="C125" s="510">
        <v>243</v>
      </c>
      <c r="D125" s="510">
        <v>330</v>
      </c>
      <c r="E125" s="183">
        <f>(B125/'Population Figures'!AI32)*1000</f>
        <v>4.2555272940716105</v>
      </c>
      <c r="F125" s="183">
        <f>(C125/'Population Figures'!AI32)*1000</f>
        <v>11.886127959303463</v>
      </c>
      <c r="G125" s="183">
        <f>(D125/'Population Figures'!AI32)*1000</f>
        <v>16.141655253375074</v>
      </c>
      <c r="H125" s="181"/>
      <c r="I125" s="180"/>
      <c r="J125" s="418" t="s">
        <v>50</v>
      </c>
      <c r="K125" s="511">
        <v>14.993456720882408</v>
      </c>
      <c r="L125" s="511">
        <v>8.8988595999252187</v>
      </c>
      <c r="M125" s="512">
        <v>23.892316320807627</v>
      </c>
      <c r="N125" s="419">
        <f t="shared" si="4"/>
        <v>0.62754303599374028</v>
      </c>
      <c r="O125" t="e">
        <f>IF($J125=Cover!$C$5,0,IF($J125="Scotland",0,NA()))</f>
        <v>#N/A</v>
      </c>
      <c r="P125">
        <f>IF($J125=Cover!$C$5,NA(),IF($J125="Scotland",NA(),0))</f>
        <v>0</v>
      </c>
    </row>
    <row r="126" spans="1:16">
      <c r="A126" s="182" t="str">
        <f t="shared" si="3"/>
        <v>South Lanarkshire</v>
      </c>
      <c r="B126" s="510">
        <v>186</v>
      </c>
      <c r="C126" s="510">
        <v>362</v>
      </c>
      <c r="D126" s="510">
        <v>548</v>
      </c>
      <c r="E126" s="183">
        <f>(B126/'Population Figures'!AI33)*1000</f>
        <v>2.9901133349409212</v>
      </c>
      <c r="F126" s="183">
        <f>(C126/'Population Figures'!AI33)*1000</f>
        <v>5.8194678884334055</v>
      </c>
      <c r="G126" s="183">
        <f>(D126/'Population Figures'!AI33)*1000</f>
        <v>8.8095812233743267</v>
      </c>
      <c r="H126" s="181"/>
      <c r="I126" s="180"/>
      <c r="J126" s="418" t="s">
        <v>47</v>
      </c>
      <c r="K126" s="511">
        <v>8.6770791616606591</v>
      </c>
      <c r="L126" s="511">
        <v>5.2729942597784003</v>
      </c>
      <c r="M126" s="512">
        <v>13.950073421439061</v>
      </c>
      <c r="N126" s="419">
        <f t="shared" si="4"/>
        <v>0.62200956937799035</v>
      </c>
      <c r="O126" t="e">
        <f>IF($J126=Cover!$C$5,0,IF($J126="Scotland",0,NA()))</f>
        <v>#N/A</v>
      </c>
      <c r="P126">
        <f>IF($J126=Cover!$C$5,NA(),IF($J126="Scotland",NA(),0))</f>
        <v>0</v>
      </c>
    </row>
    <row r="127" spans="1:16">
      <c r="A127" s="182" t="str">
        <f t="shared" si="3"/>
        <v>Stirling</v>
      </c>
      <c r="B127" s="510">
        <v>64</v>
      </c>
      <c r="C127" s="510">
        <v>152</v>
      </c>
      <c r="D127" s="510">
        <v>216</v>
      </c>
      <c r="E127" s="183">
        <f>(B127/'Population Figures'!AI34)*1000</f>
        <v>3.5486553922927642</v>
      </c>
      <c r="F127" s="183">
        <f>(C127/'Population Figures'!AI34)*1000</f>
        <v>8.4280565566953154</v>
      </c>
      <c r="G127" s="183">
        <f>(D127/'Population Figures'!AI34)*1000</f>
        <v>11.976711948988079</v>
      </c>
      <c r="H127" s="181"/>
      <c r="I127" s="180"/>
      <c r="J127" s="418" t="s">
        <v>51</v>
      </c>
      <c r="K127" s="511">
        <v>5.983617936970707</v>
      </c>
      <c r="L127" s="511">
        <v>3.6929057337220605</v>
      </c>
      <c r="M127" s="512">
        <v>9.6765236706927666</v>
      </c>
      <c r="N127" s="419">
        <f t="shared" si="4"/>
        <v>0.61836441893830707</v>
      </c>
      <c r="O127" t="e">
        <f>IF($J127=Cover!$C$5,0,IF($J127="Scotland",0,NA()))</f>
        <v>#N/A</v>
      </c>
      <c r="P127">
        <f>IF($J127=Cover!$C$5,NA(),IF($J127="Scotland",NA(),0))</f>
        <v>0</v>
      </c>
    </row>
    <row r="128" spans="1:16">
      <c r="A128" s="182" t="str">
        <f t="shared" si="3"/>
        <v>West Dunbartonshire</v>
      </c>
      <c r="B128" s="510">
        <v>109</v>
      </c>
      <c r="C128" s="510">
        <v>277</v>
      </c>
      <c r="D128" s="510">
        <v>386</v>
      </c>
      <c r="E128" s="183">
        <f>(B128/'Population Figures'!AI35)*1000</f>
        <v>6.1363508416371113</v>
      </c>
      <c r="F128" s="183">
        <f>(C128/'Population Figures'!AI35)*1000</f>
        <v>15.594212689297979</v>
      </c>
      <c r="G128" s="183">
        <f>(D128/'Population Figures'!AI35)*1000</f>
        <v>21.73056353093509</v>
      </c>
      <c r="H128" s="181"/>
      <c r="I128" s="180"/>
      <c r="J128" s="418" t="s">
        <v>42</v>
      </c>
      <c r="K128" s="511">
        <v>5.7596822244289978</v>
      </c>
      <c r="L128" s="511">
        <v>3.5749751737835154</v>
      </c>
      <c r="M128" s="512">
        <v>9.3346573982125136</v>
      </c>
      <c r="N128" s="419">
        <f t="shared" si="4"/>
        <v>0.61702127659574468</v>
      </c>
      <c r="O128" t="e">
        <f>IF($J128=Cover!$C$5,0,IF($J128="Scotland",0,NA()))</f>
        <v>#N/A</v>
      </c>
      <c r="P128">
        <f>IF($J128=Cover!$C$5,NA(),IF($J128="Scotland",NA(),0))</f>
        <v>0</v>
      </c>
    </row>
    <row r="129" spans="1:16">
      <c r="A129" s="182" t="str">
        <f t="shared" si="3"/>
        <v>West Lothian</v>
      </c>
      <c r="B129" s="510">
        <v>128</v>
      </c>
      <c r="C129" s="510">
        <v>306</v>
      </c>
      <c r="D129" s="510">
        <v>434</v>
      </c>
      <c r="E129" s="183">
        <f>(B129/'Population Figures'!AI36)*1000</f>
        <v>3.240424293055872</v>
      </c>
      <c r="F129" s="183">
        <f>(C129/'Population Figures'!AI36)*1000</f>
        <v>7.7466393255866945</v>
      </c>
      <c r="G129" s="183">
        <f>(D129/'Population Figures'!AI36)*1000</f>
        <v>10.987063618642566</v>
      </c>
      <c r="H129" s="181"/>
      <c r="I129" s="180"/>
      <c r="J129" s="418" t="s">
        <v>36</v>
      </c>
      <c r="K129" s="511">
        <v>8.6702030364002187</v>
      </c>
      <c r="L129" s="511">
        <v>6.2922992500457289</v>
      </c>
      <c r="M129" s="512">
        <v>14.962502286445948</v>
      </c>
      <c r="N129" s="419">
        <f t="shared" si="4"/>
        <v>0.5794621026894865</v>
      </c>
      <c r="O129" t="e">
        <f>IF($J129=Cover!$C$5,0,IF($J129="Scotland",0,NA()))</f>
        <v>#N/A</v>
      </c>
      <c r="P129">
        <f>IF($J129=Cover!$C$5,NA(),IF($J129="Scotland",NA(),0))</f>
        <v>0</v>
      </c>
    </row>
    <row r="130" spans="1:16">
      <c r="A130" s="100" t="str">
        <f t="shared" si="3"/>
        <v>Scotland</v>
      </c>
      <c r="B130" s="62">
        <v>4166</v>
      </c>
      <c r="C130" s="62">
        <v>11238</v>
      </c>
      <c r="D130" s="62">
        <v>15404</v>
      </c>
      <c r="E130" s="114">
        <f>(B130/'Population Figures'!AI37)*1000</f>
        <v>4.0321995232209593</v>
      </c>
      <c r="F130" s="114">
        <f>(C130/'Population Figures'!AI37)*1000</f>
        <v>10.877066308679101</v>
      </c>
      <c r="G130" s="114">
        <f>(D130/'Population Figures'!AI37)*1000</f>
        <v>14.909265831900061</v>
      </c>
      <c r="H130" s="181"/>
      <c r="I130" s="180"/>
      <c r="J130" s="418" t="s">
        <v>41</v>
      </c>
      <c r="K130" s="511">
        <v>3.4244923551825592</v>
      </c>
      <c r="L130" s="511">
        <v>3.6174215019534075</v>
      </c>
      <c r="M130" s="512">
        <v>7.0419138571359667</v>
      </c>
      <c r="N130" s="419">
        <f t="shared" si="4"/>
        <v>0.4863013698630137</v>
      </c>
      <c r="O130" t="e">
        <f>IF($J130=Cover!$C$5,0,IF($J130="Scotland",0,NA()))</f>
        <v>#N/A</v>
      </c>
      <c r="P130">
        <f>IF($J130=Cover!$C$5,NA(),IF($J130="Scotland",NA(),0))</f>
        <v>0</v>
      </c>
    </row>
    <row r="131" spans="1:16">
      <c r="A131" s="167"/>
      <c r="B131" s="167"/>
      <c r="C131" s="167"/>
      <c r="D131" s="167"/>
      <c r="E131" s="167"/>
      <c r="F131" s="168"/>
      <c r="G131" s="439"/>
      <c r="H131" s="167"/>
      <c r="I131" s="167"/>
      <c r="J131" s="167"/>
      <c r="K131" s="168"/>
      <c r="L131" s="167"/>
      <c r="M131" s="167"/>
      <c r="N131" s="167"/>
      <c r="O131" s="167"/>
      <c r="P131" s="168"/>
    </row>
    <row r="132" spans="1:16">
      <c r="A132" s="167"/>
      <c r="B132" s="167"/>
      <c r="C132" s="167"/>
      <c r="D132" s="167"/>
      <c r="E132" s="167"/>
      <c r="F132" s="168"/>
      <c r="G132" s="167"/>
      <c r="H132" s="167"/>
      <c r="I132" s="167" t="s">
        <v>187</v>
      </c>
      <c r="J132" s="167" t="str">
        <f>Cover!$C$5</f>
        <v>Aberdeen City</v>
      </c>
      <c r="K132" s="184">
        <f>VLOOKUP($J$132,$J$97:$M$130,2,0)</f>
        <v>11.252992817238628</v>
      </c>
      <c r="L132" s="184">
        <f>VLOOKUP($J$132,$J$97:$M$130,3,0)</f>
        <v>3.3519553072625698</v>
      </c>
      <c r="M132" s="184">
        <f>VLOOKUP($J$132,$J$97:$M$130,4,0)</f>
        <v>14.604948124501197</v>
      </c>
      <c r="N132" s="167"/>
      <c r="O132" s="167"/>
      <c r="P132" s="168"/>
    </row>
    <row r="133" spans="1:16">
      <c r="A133" s="167"/>
      <c r="B133" s="167"/>
      <c r="C133" s="167"/>
      <c r="D133" s="167"/>
      <c r="E133" s="167"/>
      <c r="F133" s="168"/>
      <c r="G133" s="167"/>
      <c r="H133" s="167"/>
      <c r="I133" s="167"/>
      <c r="N133" s="167"/>
      <c r="O133" s="167"/>
      <c r="P133" s="168"/>
    </row>
    <row r="134" spans="1:16">
      <c r="A134" s="167"/>
      <c r="B134" s="167"/>
      <c r="C134" s="167"/>
      <c r="D134" s="167"/>
      <c r="E134" s="167"/>
      <c r="F134" s="168"/>
      <c r="G134" s="167"/>
      <c r="H134" s="167"/>
      <c r="I134" s="167" t="s">
        <v>186</v>
      </c>
      <c r="J134" s="167" t="str">
        <f>Cover!$C$5</f>
        <v>Aberdeen City</v>
      </c>
      <c r="K134" s="168">
        <f>K132/$M132</f>
        <v>0.7704918032786886</v>
      </c>
      <c r="L134" s="168">
        <f>L132/$M132</f>
        <v>0.22950819672131148</v>
      </c>
      <c r="M134" s="168">
        <f>M132/$M132</f>
        <v>1</v>
      </c>
      <c r="N134" s="167"/>
      <c r="O134" s="167"/>
      <c r="P134" s="168"/>
    </row>
    <row r="135" spans="1:16">
      <c r="A135" s="167"/>
      <c r="B135" s="167"/>
      <c r="C135" s="167"/>
      <c r="D135" s="167"/>
      <c r="E135" s="167"/>
      <c r="F135" s="168"/>
      <c r="G135" s="167"/>
      <c r="H135" s="167"/>
      <c r="I135" s="167"/>
      <c r="J135" s="167" t="s">
        <v>5</v>
      </c>
      <c r="K135" s="168">
        <f>F130/$G130</f>
        <v>0.72955076603479607</v>
      </c>
      <c r="L135" s="168">
        <f>E130/$G130</f>
        <v>0.27044923396520387</v>
      </c>
      <c r="M135" s="168">
        <f>G130/$G130</f>
        <v>1</v>
      </c>
      <c r="N135" s="167"/>
      <c r="O135" s="167"/>
      <c r="P135" s="168"/>
    </row>
    <row r="136" spans="1:16">
      <c r="A136" s="167"/>
      <c r="B136" s="167"/>
      <c r="C136" s="167"/>
      <c r="D136" s="167"/>
      <c r="E136" s="167"/>
      <c r="F136" s="168"/>
      <c r="G136" s="167"/>
      <c r="H136" s="167"/>
      <c r="I136" s="167"/>
      <c r="J136" s="167"/>
      <c r="K136" s="168"/>
      <c r="M136" s="167"/>
      <c r="N136" s="167"/>
      <c r="O136" s="167"/>
      <c r="P136" s="168"/>
    </row>
    <row r="137" spans="1:16">
      <c r="A137" s="1" t="s">
        <v>132</v>
      </c>
    </row>
    <row r="139" spans="1:16">
      <c r="A139" t="s">
        <v>104</v>
      </c>
      <c r="B139" t="s">
        <v>102</v>
      </c>
      <c r="C139" t="s">
        <v>194</v>
      </c>
      <c r="D139" t="s">
        <v>103</v>
      </c>
    </row>
    <row r="140" spans="1:16">
      <c r="A140" s="420" t="s">
        <v>45</v>
      </c>
      <c r="B140" s="513">
        <v>24.467715065082476</v>
      </c>
      <c r="C140">
        <f>IF($A140=Cover!$C$5,B140,IF($A140="Scotland",B140,0))</f>
        <v>0</v>
      </c>
      <c r="D140" s="391">
        <f t="shared" ref="D140:D171" si="5">$F$130</f>
        <v>10.877066308679101</v>
      </c>
      <c r="H140" s="90"/>
    </row>
    <row r="141" spans="1:16">
      <c r="A141" s="420" t="s">
        <v>37</v>
      </c>
      <c r="B141" s="513">
        <v>16.538362370621385</v>
      </c>
      <c r="C141">
        <f>IF($A141=Cover!$C$5,B141,IF($A141="Scotland",B141,0))</f>
        <v>0</v>
      </c>
      <c r="D141" s="391">
        <f t="shared" si="5"/>
        <v>10.877066308679101</v>
      </c>
      <c r="H141" s="90"/>
    </row>
    <row r="142" spans="1:16">
      <c r="A142" s="420" t="s">
        <v>60</v>
      </c>
      <c r="B142" s="513">
        <v>15.594212689297979</v>
      </c>
      <c r="C142">
        <f>IF($A142=Cover!$C$5,B142,IF($A142="Scotland",B142,0))</f>
        <v>0</v>
      </c>
      <c r="D142" s="391">
        <f t="shared" si="5"/>
        <v>10.877066308679101</v>
      </c>
      <c r="H142" s="90"/>
    </row>
    <row r="143" spans="1:16">
      <c r="A143" s="421" t="s">
        <v>50</v>
      </c>
      <c r="B143" s="513">
        <v>14.993456720882408</v>
      </c>
      <c r="C143">
        <f>IF($A143=Cover!$C$5,B143,IF($A143="Scotland",B143,0))</f>
        <v>0</v>
      </c>
      <c r="D143" s="391">
        <f t="shared" si="5"/>
        <v>10.877066308679101</v>
      </c>
      <c r="H143" s="90"/>
    </row>
    <row r="144" spans="1:16">
      <c r="A144" s="420" t="s">
        <v>38</v>
      </c>
      <c r="B144" s="513">
        <v>14.196762141967621</v>
      </c>
      <c r="C144">
        <f>IF($A144=Cover!$C$5,B144,IF($A144="Scotland",B144,0))</f>
        <v>0</v>
      </c>
      <c r="D144" s="391">
        <f t="shared" si="5"/>
        <v>10.877066308679101</v>
      </c>
      <c r="H144" s="90"/>
    </row>
    <row r="145" spans="1:8">
      <c r="A145" s="420" t="s">
        <v>35</v>
      </c>
      <c r="B145" s="513">
        <v>13.684006211180124</v>
      </c>
      <c r="C145">
        <f>IF($A145=Cover!$C$5,B145,IF($A145="Scotland",B145,0))</f>
        <v>0</v>
      </c>
      <c r="D145" s="391">
        <f t="shared" si="5"/>
        <v>10.877066308679101</v>
      </c>
      <c r="H145" s="90"/>
    </row>
    <row r="146" spans="1:8">
      <c r="A146" s="420" t="s">
        <v>54</v>
      </c>
      <c r="B146" s="513">
        <v>13.4968605128807</v>
      </c>
      <c r="C146">
        <f>IF($A146=Cover!$C$5,B146,IF($A146="Scotland",B146,0))</f>
        <v>0</v>
      </c>
      <c r="D146" s="391">
        <f t="shared" si="5"/>
        <v>10.877066308679101</v>
      </c>
      <c r="H146" s="90"/>
    </row>
    <row r="147" spans="1:8">
      <c r="A147" s="420" t="s">
        <v>140</v>
      </c>
      <c r="B147" s="513">
        <v>12.604197457877625</v>
      </c>
      <c r="C147">
        <f>IF($A147=Cover!$C$5,B147,IF($A147="Scotland",B147,0))</f>
        <v>0</v>
      </c>
      <c r="D147" s="391">
        <f t="shared" si="5"/>
        <v>10.877066308679101</v>
      </c>
      <c r="H147" s="90"/>
    </row>
    <row r="148" spans="1:8">
      <c r="A148" s="420" t="s">
        <v>57</v>
      </c>
      <c r="B148" s="513">
        <v>11.886127959303463</v>
      </c>
      <c r="C148">
        <f>IF($A148=Cover!$C$5,B148,IF($A148="Scotland",B148,0))</f>
        <v>0</v>
      </c>
      <c r="D148" s="391">
        <f t="shared" si="5"/>
        <v>10.877066308679101</v>
      </c>
      <c r="H148" s="90"/>
    </row>
    <row r="149" spans="1:8">
      <c r="A149" s="420" t="s">
        <v>44</v>
      </c>
      <c r="B149" s="513">
        <v>11.564597720161546</v>
      </c>
      <c r="C149">
        <f>IF($A149=Cover!$C$5,B149,IF($A149="Scotland",B149,0))</f>
        <v>0</v>
      </c>
      <c r="D149" s="391">
        <f t="shared" si="5"/>
        <v>10.877066308679101</v>
      </c>
      <c r="H149" s="90"/>
    </row>
    <row r="150" spans="1:8">
      <c r="A150" s="420" t="s">
        <v>48</v>
      </c>
      <c r="B150" s="513">
        <v>11.402508551881414</v>
      </c>
      <c r="C150">
        <f>IF($A150=Cover!$C$5,B150,IF($A150="Scotland",B150,0))</f>
        <v>0</v>
      </c>
      <c r="D150" s="391">
        <f t="shared" si="5"/>
        <v>10.877066308679101</v>
      </c>
      <c r="H150" s="90"/>
    </row>
    <row r="151" spans="1:8">
      <c r="A151" s="420" t="s">
        <v>31</v>
      </c>
      <c r="B151" s="513">
        <v>11.252992817238628</v>
      </c>
      <c r="C151" s="90">
        <f>IF($A151=Cover!$C$5,B151,IF($A151="Scotland",B151,0))</f>
        <v>11.252992817238628</v>
      </c>
      <c r="D151" s="391">
        <f t="shared" si="5"/>
        <v>10.877066308679101</v>
      </c>
      <c r="H151" s="90"/>
    </row>
    <row r="152" spans="1:8">
      <c r="A152" s="420" t="s">
        <v>47</v>
      </c>
      <c r="B152" s="513">
        <v>8.6770791616606591</v>
      </c>
      <c r="C152">
        <f>IF($A152=Cover!$C$5,B152,IF($A152="Scotland",B152,0))</f>
        <v>0</v>
      </c>
      <c r="D152" s="391">
        <f t="shared" si="5"/>
        <v>10.877066308679101</v>
      </c>
      <c r="H152" s="90"/>
    </row>
    <row r="153" spans="1:8">
      <c r="A153" s="420" t="s">
        <v>36</v>
      </c>
      <c r="B153" s="513">
        <v>8.6702030364002187</v>
      </c>
      <c r="C153">
        <f>IF($A153=Cover!$C$5,B153,IF($A153="Scotland",B153,0))</f>
        <v>0</v>
      </c>
      <c r="D153" s="391">
        <f t="shared" si="5"/>
        <v>10.877066308679101</v>
      </c>
      <c r="H153" s="90"/>
    </row>
    <row r="154" spans="1:8">
      <c r="A154" s="420" t="s">
        <v>59</v>
      </c>
      <c r="B154" s="513">
        <v>8.4280565566953154</v>
      </c>
      <c r="C154">
        <f>IF($A154=Cover!$C$5,B154,IF($A154="Scotland",B154,0))</f>
        <v>0</v>
      </c>
      <c r="D154" s="391">
        <f t="shared" si="5"/>
        <v>10.877066308679101</v>
      </c>
      <c r="H154" s="90"/>
    </row>
    <row r="155" spans="1:8">
      <c r="A155" s="420" t="s">
        <v>49</v>
      </c>
      <c r="B155" s="513">
        <v>8.3477713025673328</v>
      </c>
      <c r="C155">
        <f>IF($A155=Cover!$C$5,B155,IF($A155="Scotland",B155,0))</f>
        <v>0</v>
      </c>
      <c r="D155" s="391">
        <f t="shared" si="5"/>
        <v>10.877066308679101</v>
      </c>
      <c r="H155" s="90"/>
    </row>
    <row r="156" spans="1:8">
      <c r="A156" s="420" t="s">
        <v>55</v>
      </c>
      <c r="B156" s="513">
        <v>7.8958304474303924</v>
      </c>
      <c r="C156">
        <f>IF($A156=Cover!$C$5,B156,IF($A156="Scotland",B156,0))</f>
        <v>0</v>
      </c>
      <c r="D156" s="391">
        <f t="shared" si="5"/>
        <v>10.877066308679101</v>
      </c>
      <c r="H156" s="90"/>
    </row>
    <row r="157" spans="1:8">
      <c r="A157" s="420" t="s">
        <v>61</v>
      </c>
      <c r="B157" s="513">
        <v>7.7466393255866945</v>
      </c>
      <c r="C157">
        <f>IF($A157=Cover!$C$5,B157,IF($A157="Scotland",B157,0))</f>
        <v>0</v>
      </c>
      <c r="D157" s="391">
        <f t="shared" si="5"/>
        <v>10.877066308679101</v>
      </c>
      <c r="H157" s="90"/>
    </row>
    <row r="158" spans="1:8">
      <c r="A158" s="420" t="s">
        <v>43</v>
      </c>
      <c r="B158" s="513">
        <v>7.673275079081713</v>
      </c>
      <c r="C158">
        <f>IF($A158=Cover!$C$5,B158,IF($A158="Scotland",B158,0))</f>
        <v>0</v>
      </c>
      <c r="D158" s="391">
        <f t="shared" si="5"/>
        <v>10.877066308679101</v>
      </c>
      <c r="H158" s="90"/>
    </row>
    <row r="159" spans="1:8">
      <c r="A159" s="420" t="s">
        <v>34</v>
      </c>
      <c r="B159" s="513">
        <v>7.5519999999999996</v>
      </c>
      <c r="C159">
        <f>IF($A159=Cover!$C$5,B159,IF($A159="Scotland",B159,0))</f>
        <v>0</v>
      </c>
      <c r="D159" s="391">
        <f t="shared" si="5"/>
        <v>10.877066308679101</v>
      </c>
      <c r="H159" s="90"/>
    </row>
    <row r="160" spans="1:8">
      <c r="A160" s="420" t="s">
        <v>53</v>
      </c>
      <c r="B160" s="513">
        <v>7.4931638197379167</v>
      </c>
      <c r="C160">
        <f>IF($A160=Cover!$C$5,B160,IF($A160="Scotland",B160,0))</f>
        <v>0</v>
      </c>
      <c r="D160" s="391">
        <f t="shared" si="5"/>
        <v>10.877066308679101</v>
      </c>
      <c r="H160" s="90"/>
    </row>
    <row r="161" spans="1:8">
      <c r="A161" s="420" t="s">
        <v>33</v>
      </c>
      <c r="B161" s="513">
        <v>7.4630180800497534</v>
      </c>
      <c r="C161">
        <f>IF($A161=Cover!$C$5,B161,IF($A161="Scotland",B161,0))</f>
        <v>0</v>
      </c>
      <c r="D161" s="391">
        <f t="shared" si="5"/>
        <v>10.877066308679101</v>
      </c>
      <c r="H161" s="90"/>
    </row>
    <row r="162" spans="1:8">
      <c r="A162" s="420" t="s">
        <v>40</v>
      </c>
      <c r="B162" s="513">
        <v>6.8612246816109774</v>
      </c>
      <c r="C162">
        <f>IF($A162=Cover!$C$5,B162,IF($A162="Scotland",B162,0))</f>
        <v>0</v>
      </c>
      <c r="D162" s="391">
        <f t="shared" si="5"/>
        <v>10.877066308679101</v>
      </c>
      <c r="H162" s="90"/>
    </row>
    <row r="163" spans="1:8">
      <c r="A163" s="420" t="s">
        <v>46</v>
      </c>
      <c r="B163" s="513">
        <v>6.7276404889631518</v>
      </c>
      <c r="C163">
        <f>IF($A163=Cover!$C$5,B163,IF($A163="Scotland",B163,0))</f>
        <v>0</v>
      </c>
      <c r="D163" s="391">
        <f t="shared" si="5"/>
        <v>10.877066308679101</v>
      </c>
      <c r="H163" s="90"/>
    </row>
    <row r="164" spans="1:8">
      <c r="A164" s="420" t="s">
        <v>52</v>
      </c>
      <c r="B164" s="513">
        <v>6.482174021441037</v>
      </c>
      <c r="C164">
        <f>IF($A164=Cover!$C$5,B164,IF($A164="Scotland",B164,0))</f>
        <v>0</v>
      </c>
      <c r="D164" s="391">
        <f t="shared" si="5"/>
        <v>10.877066308679101</v>
      </c>
      <c r="H164" s="90"/>
    </row>
    <row r="165" spans="1:8">
      <c r="A165" s="420" t="s">
        <v>51</v>
      </c>
      <c r="B165" s="513">
        <v>5.983617936970707</v>
      </c>
      <c r="C165">
        <f>IF($A165=Cover!$C$5,B165,IF($A165="Scotland",B165,0))</f>
        <v>0</v>
      </c>
      <c r="D165" s="391">
        <f t="shared" si="5"/>
        <v>10.877066308679101</v>
      </c>
      <c r="H165" s="90"/>
    </row>
    <row r="166" spans="1:8">
      <c r="A166" s="420" t="s">
        <v>58</v>
      </c>
      <c r="B166" s="513">
        <v>5.8194678884334055</v>
      </c>
      <c r="C166">
        <f>IF($A166=Cover!$C$5,B166,IF($A166="Scotland",B166,0))</f>
        <v>0</v>
      </c>
      <c r="D166" s="391">
        <f t="shared" si="5"/>
        <v>10.877066308679101</v>
      </c>
      <c r="H166" s="90"/>
    </row>
    <row r="167" spans="1:8">
      <c r="A167" s="420" t="s">
        <v>39</v>
      </c>
      <c r="B167" s="513">
        <v>5.7965505772794224</v>
      </c>
      <c r="C167">
        <f>IF($A167=Cover!$C$5,B167,IF($A167="Scotland",B167,0))</f>
        <v>0</v>
      </c>
      <c r="D167" s="391">
        <f t="shared" si="5"/>
        <v>10.877066308679101</v>
      </c>
      <c r="H167" s="90"/>
    </row>
    <row r="168" spans="1:8">
      <c r="A168" s="420" t="s">
        <v>42</v>
      </c>
      <c r="B168" s="513">
        <v>5.7596822244289978</v>
      </c>
      <c r="C168">
        <f>IF($A168=Cover!$C$5,B168,IF($A168="Scotland",B168,0))</f>
        <v>0</v>
      </c>
      <c r="D168" s="391">
        <f t="shared" si="5"/>
        <v>10.877066308679101</v>
      </c>
      <c r="H168" s="90"/>
    </row>
    <row r="169" spans="1:8">
      <c r="A169" s="420" t="s">
        <v>32</v>
      </c>
      <c r="B169" s="513">
        <v>5.4979177321545984</v>
      </c>
      <c r="C169">
        <f>IF($A169=Cover!$C$5,B169,IF($A169="Scotland",B169,0))</f>
        <v>0</v>
      </c>
      <c r="D169" s="391">
        <f t="shared" si="5"/>
        <v>10.877066308679101</v>
      </c>
      <c r="H169" s="90"/>
    </row>
    <row r="170" spans="1:8">
      <c r="A170" s="420" t="s">
        <v>56</v>
      </c>
      <c r="B170" s="513">
        <v>4.7169811320754711</v>
      </c>
      <c r="C170">
        <f>IF($A170=Cover!$C$5,B170,IF($A170="Scotland",B170,0))</f>
        <v>0</v>
      </c>
      <c r="D170" s="391">
        <f t="shared" si="5"/>
        <v>10.877066308679101</v>
      </c>
      <c r="H170" s="90"/>
    </row>
    <row r="171" spans="1:8">
      <c r="A171" s="420" t="s">
        <v>41</v>
      </c>
      <c r="B171" s="513">
        <v>3.4244923551825592</v>
      </c>
      <c r="C171">
        <f>IF($A171=Cover!$C$5,B171,IF($A171="Scotland",B171,0))</f>
        <v>0</v>
      </c>
      <c r="D171" s="391">
        <f t="shared" si="5"/>
        <v>10.877066308679101</v>
      </c>
      <c r="H171" s="90"/>
    </row>
    <row r="172" spans="1:8">
      <c r="B172" s="90"/>
      <c r="H172" s="90"/>
    </row>
    <row r="173" spans="1:8">
      <c r="A173" t="str">
        <f>Cover!$C$5</f>
        <v>Aberdeen City</v>
      </c>
      <c r="B173" s="90"/>
      <c r="C173" s="90">
        <f>SUM($C$140:$C$171)</f>
        <v>11.252992817238628</v>
      </c>
      <c r="H173" s="90"/>
    </row>
    <row r="174" spans="1:8">
      <c r="B174" s="90"/>
      <c r="H174" s="90"/>
    </row>
    <row r="175" spans="1:8">
      <c r="B175" s="90"/>
      <c r="H175" s="90"/>
    </row>
    <row r="177" spans="1:26">
      <c r="A177" s="1" t="s">
        <v>380</v>
      </c>
    </row>
    <row r="178" spans="1:26">
      <c r="R178" s="1" t="s">
        <v>381</v>
      </c>
    </row>
    <row r="179" spans="1:26">
      <c r="B179" s="748" t="s">
        <v>119</v>
      </c>
      <c r="C179" s="749"/>
      <c r="D179" s="749"/>
      <c r="E179" s="749"/>
      <c r="F179" s="749"/>
      <c r="G179" s="749"/>
      <c r="H179" s="749" t="s">
        <v>131</v>
      </c>
      <c r="I179" s="749"/>
      <c r="J179" s="749"/>
      <c r="K179" s="749"/>
      <c r="L179" s="749"/>
      <c r="M179" s="752"/>
    </row>
    <row r="180" spans="1:26" ht="51">
      <c r="A180" s="94"/>
      <c r="B180" s="173" t="s">
        <v>107</v>
      </c>
      <c r="C180" s="173" t="s">
        <v>108</v>
      </c>
      <c r="D180" s="173" t="s">
        <v>105</v>
      </c>
      <c r="E180" s="173" t="s">
        <v>109</v>
      </c>
      <c r="F180" s="173" t="s">
        <v>106</v>
      </c>
      <c r="G180" s="174" t="s">
        <v>110</v>
      </c>
      <c r="H180" s="175" t="str">
        <f t="shared" ref="H180:M180" si="6">B180</f>
        <v>Residential placements</v>
      </c>
      <c r="I180" s="173" t="str">
        <f t="shared" si="6"/>
        <v>Directly provided foster care</v>
      </c>
      <c r="J180" s="173" t="str">
        <f t="shared" si="6"/>
        <v>Purchased foster care</v>
      </c>
      <c r="K180" s="173" t="str">
        <f t="shared" si="6"/>
        <v>With relatives or friends</v>
      </c>
      <c r="L180" s="173" t="str">
        <f t="shared" si="6"/>
        <v>Other</v>
      </c>
      <c r="M180" s="173" t="str">
        <f t="shared" si="6"/>
        <v>Total</v>
      </c>
      <c r="S180" s="176" t="s">
        <v>107</v>
      </c>
      <c r="T180" s="176" t="s">
        <v>108</v>
      </c>
      <c r="U180" s="176" t="s">
        <v>105</v>
      </c>
      <c r="V180" s="176" t="s">
        <v>109</v>
      </c>
      <c r="W180" s="176" t="s">
        <v>106</v>
      </c>
      <c r="X180" s="176" t="s">
        <v>110</v>
      </c>
      <c r="Y180" s="187" t="s">
        <v>194</v>
      </c>
      <c r="Z180" s="168" t="s">
        <v>197</v>
      </c>
    </row>
    <row r="181" spans="1:26">
      <c r="A181" s="417" t="s">
        <v>31</v>
      </c>
      <c r="B181" s="514">
        <v>60</v>
      </c>
      <c r="C181" s="514">
        <v>111</v>
      </c>
      <c r="D181" s="514">
        <v>134</v>
      </c>
      <c r="E181" s="514">
        <v>102</v>
      </c>
      <c r="F181" s="514">
        <v>16</v>
      </c>
      <c r="G181" s="515">
        <v>423</v>
      </c>
      <c r="H181" s="102">
        <f>(B181/'Population Figures'!AI5)*1000</f>
        <v>1.5961691939345573</v>
      </c>
      <c r="I181" s="93">
        <f>(C181/'Population Figures'!AI5)*1000</f>
        <v>2.9529130087789306</v>
      </c>
      <c r="J181" s="93">
        <f>(D181/'Population Figures'!AI5)*1000</f>
        <v>3.5647778664538441</v>
      </c>
      <c r="K181" s="93">
        <f>(E181/'Population Figures'!AI5)*1000</f>
        <v>2.7134876296887471</v>
      </c>
      <c r="L181" s="93">
        <f>(F181/'Population Figures'!AI5)*1000</f>
        <v>0.42564511838254854</v>
      </c>
      <c r="M181" s="93">
        <f>(G181/'Population Figures'!AI5)*1000</f>
        <v>11.252992817238628</v>
      </c>
      <c r="N181" s="90"/>
      <c r="R181" s="421" t="s">
        <v>45</v>
      </c>
      <c r="S181" s="513">
        <v>2.1968767735203119</v>
      </c>
      <c r="T181" s="513">
        <v>7.0849275946030064</v>
      </c>
      <c r="U181" s="513">
        <v>2.9383226845834174</v>
      </c>
      <c r="V181" s="513">
        <v>12.183512439814731</v>
      </c>
      <c r="W181" s="513">
        <v>6.4075572561009098E-2</v>
      </c>
      <c r="X181" s="513">
        <v>24.467715065082476</v>
      </c>
      <c r="Y181" t="e">
        <f>IF($R181=Cover!$C$5,0,IF($R181="Scotland",0,NA()))</f>
        <v>#N/A</v>
      </c>
      <c r="Z181">
        <f>IF($R181=Cover!$C$5,NA(),IF($R181="Scotland",NA(),0))</f>
        <v>0</v>
      </c>
    </row>
    <row r="182" spans="1:26">
      <c r="A182" s="417" t="s">
        <v>32</v>
      </c>
      <c r="B182" s="514">
        <v>52</v>
      </c>
      <c r="C182" s="514">
        <v>142</v>
      </c>
      <c r="D182" s="514">
        <v>16</v>
      </c>
      <c r="E182" s="514">
        <v>76</v>
      </c>
      <c r="F182" s="514">
        <v>15</v>
      </c>
      <c r="G182" s="515">
        <v>301</v>
      </c>
      <c r="H182" s="102">
        <f>(B182/'Population Figures'!AI6)*1000</f>
        <v>0.94980638562139252</v>
      </c>
      <c r="I182" s="93">
        <f>(C182/'Population Figures'!AI6)*1000</f>
        <v>2.5937020530430335</v>
      </c>
      <c r="J182" s="93">
        <f>(D182/'Population Figures'!AI6)*1000</f>
        <v>0.2922481186527362</v>
      </c>
      <c r="K182" s="93">
        <f>(E182/'Population Figures'!AI6)*1000</f>
        <v>1.3881785636004969</v>
      </c>
      <c r="L182" s="93">
        <f>(F182/'Population Figures'!AI6)*1000</f>
        <v>0.27398261123694018</v>
      </c>
      <c r="M182" s="93">
        <f>(G182/'Population Figures'!AI6)*1000</f>
        <v>5.4979177321545984</v>
      </c>
      <c r="N182" s="90"/>
      <c r="R182" s="421" t="s">
        <v>37</v>
      </c>
      <c r="S182" s="513">
        <v>1.7311871523813032</v>
      </c>
      <c r="T182" s="513">
        <v>6.5932446867287924</v>
      </c>
      <c r="U182" s="513">
        <v>2.3205274595749383</v>
      </c>
      <c r="V182" s="513">
        <v>4.8988913035470922</v>
      </c>
      <c r="W182" s="513">
        <v>0.99451176838925937</v>
      </c>
      <c r="X182" s="513">
        <v>16.538362370621385</v>
      </c>
      <c r="Y182" t="e">
        <f>IF($R182=Cover!$C$5,0,IF($R182="Scotland",0,NA()))</f>
        <v>#N/A</v>
      </c>
      <c r="Z182">
        <f>IF($R182=Cover!$C$5,NA(),IF($R182="Scotland",NA(),0))</f>
        <v>0</v>
      </c>
    </row>
    <row r="183" spans="1:26">
      <c r="A183" s="417" t="s">
        <v>33</v>
      </c>
      <c r="B183" s="514">
        <v>14</v>
      </c>
      <c r="C183" s="514">
        <v>98</v>
      </c>
      <c r="D183" s="514">
        <v>6</v>
      </c>
      <c r="E183" s="514">
        <v>37</v>
      </c>
      <c r="F183" s="514">
        <v>13</v>
      </c>
      <c r="G183" s="515">
        <v>168</v>
      </c>
      <c r="H183" s="102">
        <f>(B183/'Population Figures'!AI7)*1000</f>
        <v>0.62191817333747945</v>
      </c>
      <c r="I183" s="93">
        <f>(C183/'Population Figures'!AI7)*1000</f>
        <v>4.3534272133623562</v>
      </c>
      <c r="J183" s="93">
        <f>(D183/'Population Figures'!AI7)*1000</f>
        <v>0.26653636000177694</v>
      </c>
      <c r="K183" s="93">
        <f>(E183/'Population Figures'!AI7)*1000</f>
        <v>1.6436408866776244</v>
      </c>
      <c r="L183" s="93">
        <f>(F183/'Population Figures'!AI7)*1000</f>
        <v>0.57749544667051667</v>
      </c>
      <c r="M183" s="93">
        <f>(G183/'Population Figures'!AI7)*1000</f>
        <v>7.4630180800497534</v>
      </c>
      <c r="N183" s="90"/>
      <c r="R183" s="421" t="s">
        <v>60</v>
      </c>
      <c r="S183" s="513">
        <v>2.3644654619152172</v>
      </c>
      <c r="T183" s="513">
        <v>3.040027022462422</v>
      </c>
      <c r="U183" s="513">
        <v>1.3511231210944097</v>
      </c>
      <c r="V183" s="513">
        <v>8.1630355232787242</v>
      </c>
      <c r="W183" s="513">
        <v>0.67556156054720484</v>
      </c>
      <c r="X183" s="513">
        <v>15.594212689297979</v>
      </c>
      <c r="Y183" t="e">
        <f>IF($R183=Cover!$C$5,0,IF($R183="Scotland",0,NA()))</f>
        <v>#N/A</v>
      </c>
      <c r="Z183">
        <f>IF($R183=Cover!$C$5,NA(),IF($R183="Scotland",NA(),0))</f>
        <v>0</v>
      </c>
    </row>
    <row r="184" spans="1:26">
      <c r="A184" s="417" t="s">
        <v>34</v>
      </c>
      <c r="B184" s="514">
        <v>22</v>
      </c>
      <c r="C184" s="514">
        <v>51</v>
      </c>
      <c r="D184" s="514">
        <v>4</v>
      </c>
      <c r="E184" s="514">
        <v>40</v>
      </c>
      <c r="F184" s="514">
        <v>1</v>
      </c>
      <c r="G184" s="515">
        <v>118</v>
      </c>
      <c r="H184" s="102">
        <f>(B184/'Population Figures'!AI8)*1000</f>
        <v>1.4079999999999999</v>
      </c>
      <c r="I184" s="93">
        <f>(C184/'Population Figures'!AI8)*1000</f>
        <v>3.2639999999999998</v>
      </c>
      <c r="J184" s="93">
        <f>(D184/'Population Figures'!AI8)*1000</f>
        <v>0.25600000000000001</v>
      </c>
      <c r="K184" s="93">
        <f>(E184/'Population Figures'!AI8)*1000</f>
        <v>2.56</v>
      </c>
      <c r="L184" s="93">
        <f>(F184/'Population Figures'!AI8)*1000</f>
        <v>6.4000000000000001E-2</v>
      </c>
      <c r="M184" s="93">
        <f>(G184/'Population Figures'!AI8)*1000</f>
        <v>7.5519999999999996</v>
      </c>
      <c r="N184" s="90"/>
      <c r="R184" s="421" t="s">
        <v>50</v>
      </c>
      <c r="S184" s="513">
        <v>1.9816788184707423</v>
      </c>
      <c r="T184" s="513">
        <v>4.8607216302112546</v>
      </c>
      <c r="U184" s="513">
        <v>1.2338754907459339</v>
      </c>
      <c r="V184" s="513">
        <v>6.3563282856608714</v>
      </c>
      <c r="W184" s="513">
        <v>0.5608524957936063</v>
      </c>
      <c r="X184" s="513">
        <v>14.993456720882408</v>
      </c>
      <c r="Y184" t="e">
        <f>IF($R184=Cover!$C$5,0,IF($R184="Scotland",0,NA()))</f>
        <v>#N/A</v>
      </c>
      <c r="Z184">
        <f>IF($R184=Cover!$C$5,NA(),IF($R184="Scotland",NA(),0))</f>
        <v>0</v>
      </c>
    </row>
    <row r="185" spans="1:26">
      <c r="A185" s="417" t="s">
        <v>35</v>
      </c>
      <c r="B185" s="514">
        <v>19</v>
      </c>
      <c r="C185" s="514">
        <v>32</v>
      </c>
      <c r="D185" s="514">
        <v>53</v>
      </c>
      <c r="E185" s="514">
        <v>35</v>
      </c>
      <c r="F185" s="514">
        <v>2</v>
      </c>
      <c r="G185" s="515">
        <v>141</v>
      </c>
      <c r="H185" s="102">
        <f>(B185/'Population Figures'!AI9)*1000</f>
        <v>1.843944099378882</v>
      </c>
      <c r="I185" s="93">
        <f>(C185/'Population Figures'!AI9)*1000</f>
        <v>3.1055900621118009</v>
      </c>
      <c r="J185" s="93">
        <f>(D185/'Population Figures'!AI9)*1000</f>
        <v>5.1436335403726714</v>
      </c>
      <c r="K185" s="93">
        <f>(E185/'Population Figures'!AI9)*1000</f>
        <v>3.3967391304347827</v>
      </c>
      <c r="L185" s="93">
        <f>(F185/'Population Figures'!AI9)*1000</f>
        <v>0.19409937888198756</v>
      </c>
      <c r="M185" s="93">
        <f>(G185/'Population Figures'!AI9)*1000</f>
        <v>13.684006211180124</v>
      </c>
      <c r="N185" s="90"/>
      <c r="R185" s="421" t="s">
        <v>38</v>
      </c>
      <c r="S185" s="513">
        <v>1.2453300124533002</v>
      </c>
      <c r="T185" s="513">
        <v>4.2756330427563309</v>
      </c>
      <c r="U185" s="513">
        <v>1.6604400166044002</v>
      </c>
      <c r="V185" s="513">
        <v>6.5172270651722712</v>
      </c>
      <c r="W185" s="513">
        <v>0.49813200498132004</v>
      </c>
      <c r="X185" s="513">
        <v>14.196762141967621</v>
      </c>
      <c r="Y185" t="e">
        <f>IF($R185=Cover!$C$5,0,IF($R185="Scotland",0,NA()))</f>
        <v>#N/A</v>
      </c>
      <c r="Z185">
        <f>IF($R185=Cover!$C$5,NA(),IF($R185="Scotland",NA(),0))</f>
        <v>0</v>
      </c>
    </row>
    <row r="186" spans="1:26">
      <c r="A186" s="417" t="s">
        <v>36</v>
      </c>
      <c r="B186" s="514">
        <v>31</v>
      </c>
      <c r="C186" s="514">
        <v>101</v>
      </c>
      <c r="D186" s="514">
        <v>2</v>
      </c>
      <c r="E186" s="514">
        <v>100</v>
      </c>
      <c r="F186" s="514">
        <v>3</v>
      </c>
      <c r="G186" s="515">
        <v>237</v>
      </c>
      <c r="H186" s="102">
        <f>(B186/'Population Figures'!AI10)*1000</f>
        <v>1.1340771904152185</v>
      </c>
      <c r="I186" s="93">
        <f>(C186/'Population Figures'!AI10)*1000</f>
        <v>3.6948966526431315</v>
      </c>
      <c r="J186" s="93">
        <f>(D186/'Population Figures'!AI10)*1000</f>
        <v>7.3166270349368942E-2</v>
      </c>
      <c r="K186" s="93">
        <f>(E186/'Population Figures'!AI10)*1000</f>
        <v>3.6583135174684469</v>
      </c>
      <c r="L186" s="93">
        <f>(F186/'Population Figures'!AI10)*1000</f>
        <v>0.10974940552405341</v>
      </c>
      <c r="M186" s="93">
        <f>(G186/'Population Figures'!AI10)*1000</f>
        <v>8.6702030364002187</v>
      </c>
      <c r="N186" s="90"/>
      <c r="R186" s="421" t="s">
        <v>35</v>
      </c>
      <c r="S186" s="513">
        <v>1.843944099378882</v>
      </c>
      <c r="T186" s="513">
        <v>3.1055900621118009</v>
      </c>
      <c r="U186" s="513">
        <v>5.1436335403726714</v>
      </c>
      <c r="V186" s="513">
        <v>3.3967391304347827</v>
      </c>
      <c r="W186" s="513">
        <v>0.19409937888198756</v>
      </c>
      <c r="X186" s="513">
        <v>13.684006211180124</v>
      </c>
      <c r="Y186" t="e">
        <f>IF($R186=Cover!$C$5,0,IF($R186="Scotland",0,NA()))</f>
        <v>#N/A</v>
      </c>
      <c r="Z186">
        <f>IF($R186=Cover!$C$5,NA(),IF($R186="Scotland",NA(),0))</f>
        <v>0</v>
      </c>
    </row>
    <row r="187" spans="1:26">
      <c r="A187" s="417" t="s">
        <v>37</v>
      </c>
      <c r="B187" s="514">
        <v>47</v>
      </c>
      <c r="C187" s="514">
        <v>179</v>
      </c>
      <c r="D187" s="514">
        <v>63</v>
      </c>
      <c r="E187" s="514">
        <v>133</v>
      </c>
      <c r="F187" s="514">
        <v>27</v>
      </c>
      <c r="G187" s="515">
        <v>449</v>
      </c>
      <c r="H187" s="102">
        <f>(B187/'Population Figures'!AI11)*1000</f>
        <v>1.7311871523813032</v>
      </c>
      <c r="I187" s="93">
        <f>(C187/'Population Figures'!AI11)*1000</f>
        <v>6.5932446867287924</v>
      </c>
      <c r="J187" s="93">
        <f>(D187/'Population Figures'!AI11)*1000</f>
        <v>2.3205274595749383</v>
      </c>
      <c r="K187" s="93">
        <f>(E187/'Population Figures'!AI11)*1000</f>
        <v>4.8988913035470922</v>
      </c>
      <c r="L187" s="93">
        <f>(F187/'Population Figures'!AI11)*1000</f>
        <v>0.99451176838925937</v>
      </c>
      <c r="M187" s="93">
        <f>(G187/'Population Figures'!AI11)*1000</f>
        <v>16.538362370621385</v>
      </c>
      <c r="N187" s="90"/>
      <c r="R187" s="421" t="s">
        <v>54</v>
      </c>
      <c r="S187" s="513">
        <v>1.4377090546329441</v>
      </c>
      <c r="T187" s="513">
        <v>3.667625139369755</v>
      </c>
      <c r="U187" s="513">
        <v>2.6993721025761399</v>
      </c>
      <c r="V187" s="513">
        <v>5.1640161962326161</v>
      </c>
      <c r="W187" s="513">
        <v>0.52813802006924482</v>
      </c>
      <c r="X187" s="513">
        <v>13.4968605128807</v>
      </c>
      <c r="Y187" t="e">
        <f>IF($R187=Cover!$C$5,0,IF($R187="Scotland",0,NA()))</f>
        <v>#N/A</v>
      </c>
      <c r="Z187">
        <f>IF($R187=Cover!$C$5,NA(),IF($R187="Scotland",NA(),0))</f>
        <v>0</v>
      </c>
    </row>
    <row r="188" spans="1:26">
      <c r="A188" s="417" t="s">
        <v>38</v>
      </c>
      <c r="B188" s="514">
        <v>30</v>
      </c>
      <c r="C188" s="514">
        <v>103</v>
      </c>
      <c r="D188" s="514">
        <v>40</v>
      </c>
      <c r="E188" s="514">
        <v>157</v>
      </c>
      <c r="F188" s="514">
        <v>12</v>
      </c>
      <c r="G188" s="515">
        <v>342</v>
      </c>
      <c r="H188" s="102">
        <f>(B188/'Population Figures'!AI12)*1000</f>
        <v>1.2453300124533002</v>
      </c>
      <c r="I188" s="93">
        <f>(C188/'Population Figures'!AI12)*1000</f>
        <v>4.2756330427563309</v>
      </c>
      <c r="J188" s="93">
        <f>(D188/'Population Figures'!AI12)*1000</f>
        <v>1.6604400166044002</v>
      </c>
      <c r="K188" s="93">
        <f>(E188/'Population Figures'!AI12)*1000</f>
        <v>6.5172270651722712</v>
      </c>
      <c r="L188" s="93">
        <f>(F188/'Population Figures'!AI12)*1000</f>
        <v>0.49813200498132004</v>
      </c>
      <c r="M188" s="93">
        <f>(G188/'Population Figures'!AI12)*1000</f>
        <v>14.196762141967621</v>
      </c>
      <c r="N188" s="90"/>
      <c r="R188" s="421" t="s">
        <v>140</v>
      </c>
      <c r="S188" s="513">
        <v>1.1114395506946497</v>
      </c>
      <c r="T188" s="513">
        <v>4.3156961276973105</v>
      </c>
      <c r="U188" s="513">
        <v>2.9204847768253028</v>
      </c>
      <c r="V188" s="513">
        <v>3.7954478273721546</v>
      </c>
      <c r="W188" s="513">
        <v>0.46112917528820574</v>
      </c>
      <c r="X188" s="513">
        <v>12.604197457877625</v>
      </c>
      <c r="Y188" t="e">
        <f>IF($R188=Cover!$C$5,0,IF($R188="Scotland",0,NA()))</f>
        <v>#N/A</v>
      </c>
      <c r="Z188">
        <f>IF($R188=Cover!$C$5,NA(),IF($R188="Scotland",NA(),0))</f>
        <v>0</v>
      </c>
    </row>
    <row r="189" spans="1:26">
      <c r="A189" s="417" t="s">
        <v>39</v>
      </c>
      <c r="B189" s="514">
        <v>21</v>
      </c>
      <c r="C189" s="514">
        <v>15</v>
      </c>
      <c r="D189" s="514">
        <v>29</v>
      </c>
      <c r="E189" s="514">
        <v>53</v>
      </c>
      <c r="F189" s="514">
        <v>4</v>
      </c>
      <c r="G189" s="515">
        <v>122</v>
      </c>
      <c r="H189" s="102">
        <f>(B189/'Population Figures'!AI13)*1000</f>
        <v>0.99776690264645795</v>
      </c>
      <c r="I189" s="93">
        <f>(C189/'Population Figures'!AI13)*1000</f>
        <v>0.7126906447474699</v>
      </c>
      <c r="J189" s="93">
        <f>(D189/'Population Figures'!AI13)*1000</f>
        <v>1.3778685798451085</v>
      </c>
      <c r="K189" s="93">
        <f>(E189/'Population Figures'!AI13)*1000</f>
        <v>2.5181736114410604</v>
      </c>
      <c r="L189" s="93">
        <f>(F189/'Population Figures'!AI13)*1000</f>
        <v>0.19005083859932534</v>
      </c>
      <c r="M189" s="93">
        <f>(G189/'Population Figures'!AI13)*1000</f>
        <v>5.7965505772794224</v>
      </c>
      <c r="N189" s="90"/>
      <c r="R189" s="421" t="s">
        <v>57</v>
      </c>
      <c r="S189" s="513">
        <v>1.3206808843670514</v>
      </c>
      <c r="T189" s="513">
        <v>4.6468401486988853</v>
      </c>
      <c r="U189" s="513">
        <v>2.0543924867931911</v>
      </c>
      <c r="V189" s="513">
        <v>3.2283310506750147</v>
      </c>
      <c r="W189" s="513">
        <v>0.63588338876932105</v>
      </c>
      <c r="X189" s="513">
        <v>11.886127959303463</v>
      </c>
      <c r="Y189" t="e">
        <f>IF($R189=Cover!$C$5,0,IF($R189="Scotland",0,NA()))</f>
        <v>#N/A</v>
      </c>
      <c r="Z189">
        <f>IF($R189=Cover!$C$5,NA(),IF($R189="Scotland",NA(),0))</f>
        <v>0</v>
      </c>
    </row>
    <row r="190" spans="1:26">
      <c r="A190" s="417" t="s">
        <v>40</v>
      </c>
      <c r="B190" s="514">
        <v>19</v>
      </c>
      <c r="C190" s="514">
        <v>77</v>
      </c>
      <c r="D190" s="514">
        <v>6</v>
      </c>
      <c r="E190" s="514">
        <v>41</v>
      </c>
      <c r="F190" s="514">
        <v>3</v>
      </c>
      <c r="G190" s="515">
        <v>146</v>
      </c>
      <c r="H190" s="102">
        <f>(B190/'Population Figures'!AI14)*1000</f>
        <v>0.89289910240142867</v>
      </c>
      <c r="I190" s="93">
        <f>(C190/'Population Figures'!AI14)*1000</f>
        <v>3.6185910992057897</v>
      </c>
      <c r="J190" s="93">
        <f>(D190/'Population Figures'!AI14)*1000</f>
        <v>0.2819681376004512</v>
      </c>
      <c r="K190" s="93">
        <f>(E190/'Population Figures'!AI14)*1000</f>
        <v>1.9267822736030829</v>
      </c>
      <c r="L190" s="93">
        <f>(F190/'Population Figures'!AI14)*1000</f>
        <v>0.1409840688002256</v>
      </c>
      <c r="M190" s="93">
        <f>(G190/'Population Figures'!AI14)*1000</f>
        <v>6.8612246816109774</v>
      </c>
      <c r="N190" s="90"/>
      <c r="R190" s="421" t="s">
        <v>44</v>
      </c>
      <c r="S190" s="513">
        <v>1.8745951012419193</v>
      </c>
      <c r="T190" s="513">
        <v>3.8181091400294971</v>
      </c>
      <c r="U190" s="513">
        <v>3.1978387021185681</v>
      </c>
      <c r="V190" s="513">
        <v>2.6740547767715617</v>
      </c>
      <c r="W190" s="513">
        <v>0</v>
      </c>
      <c r="X190" s="513">
        <v>11.564597720161546</v>
      </c>
      <c r="Y190" t="e">
        <f>IF($R190=Cover!$C$5,0,IF($R190="Scotland",0,NA()))</f>
        <v>#N/A</v>
      </c>
      <c r="Z190">
        <f>IF($R190=Cover!$C$5,NA(),IF($R190="Scotland",NA(),0))</f>
        <v>0</v>
      </c>
    </row>
    <row r="191" spans="1:26">
      <c r="A191" s="417" t="s">
        <v>41</v>
      </c>
      <c r="B191" s="514">
        <v>7</v>
      </c>
      <c r="C191" s="514">
        <v>26</v>
      </c>
      <c r="D191" s="514">
        <v>0</v>
      </c>
      <c r="E191" s="514">
        <v>36</v>
      </c>
      <c r="F191" s="514">
        <v>2</v>
      </c>
      <c r="G191" s="515">
        <v>71</v>
      </c>
      <c r="H191" s="102">
        <f>(B191/'Population Figures'!AI15)*1000</f>
        <v>0.33762600684898469</v>
      </c>
      <c r="I191" s="93">
        <f>(C191/'Population Figures'!AI15)*1000</f>
        <v>1.2540394540105146</v>
      </c>
      <c r="J191" s="93">
        <f>(D191/'Population Figures'!AI15)*1000</f>
        <v>0</v>
      </c>
      <c r="K191" s="93">
        <f>(E191/'Population Figures'!AI15)*1000</f>
        <v>1.7363623209376355</v>
      </c>
      <c r="L191" s="93">
        <f>(F191/'Population Figures'!AI15)*1000</f>
        <v>9.6464573385424204E-2</v>
      </c>
      <c r="M191" s="93">
        <f>(G191/'Population Figures'!AI15)*1000</f>
        <v>3.4244923551825592</v>
      </c>
      <c r="N191" s="90"/>
      <c r="R191" s="421" t="s">
        <v>48</v>
      </c>
      <c r="S191" s="513">
        <v>1.6289297931259161</v>
      </c>
      <c r="T191" s="513">
        <v>3.6379432046478795</v>
      </c>
      <c r="U191" s="513">
        <v>1.6832274528967803</v>
      </c>
      <c r="V191" s="513">
        <v>4.235217462127383</v>
      </c>
      <c r="W191" s="513">
        <v>0.21719063908345551</v>
      </c>
      <c r="X191" s="513">
        <v>11.402508551881414</v>
      </c>
      <c r="Y191" t="e">
        <f>IF($R191=Cover!$C$5,0,IF($R191="Scotland",0,NA()))</f>
        <v>#N/A</v>
      </c>
      <c r="Z191">
        <f>IF($R191=Cover!$C$5,NA(),IF($R191="Scotland",NA(),0))</f>
        <v>0</v>
      </c>
    </row>
    <row r="192" spans="1:26">
      <c r="A192" s="417" t="s">
        <v>140</v>
      </c>
      <c r="B192" s="514">
        <v>94</v>
      </c>
      <c r="C192" s="514">
        <v>365</v>
      </c>
      <c r="D192" s="514">
        <v>247</v>
      </c>
      <c r="E192" s="514">
        <v>321</v>
      </c>
      <c r="F192" s="514">
        <v>39</v>
      </c>
      <c r="G192" s="515">
        <v>1066</v>
      </c>
      <c r="H192" s="102">
        <f>(B192/'Population Figures'!AI16)*1000</f>
        <v>1.1114395506946497</v>
      </c>
      <c r="I192" s="93">
        <f>(C192/'Population Figures'!AI16)*1000</f>
        <v>4.3156961276973105</v>
      </c>
      <c r="J192" s="93">
        <f>(D192/'Population Figures'!AI16)*1000</f>
        <v>2.9204847768253028</v>
      </c>
      <c r="K192" s="93">
        <f>(E192/'Population Figures'!AI16)*1000</f>
        <v>3.7954478273721546</v>
      </c>
      <c r="L192" s="93">
        <f>(F192/'Population Figures'!AI16)*1000</f>
        <v>0.46112917528820574</v>
      </c>
      <c r="M192" s="93">
        <f>(G192/'Population Figures'!AI16)*1000</f>
        <v>12.604197457877625</v>
      </c>
      <c r="N192" s="90"/>
      <c r="R192" s="421" t="s">
        <v>31</v>
      </c>
      <c r="S192" s="513">
        <v>1.5961691939345573</v>
      </c>
      <c r="T192" s="513">
        <v>2.9529130087789306</v>
      </c>
      <c r="U192" s="513">
        <v>3.5647778664538441</v>
      </c>
      <c r="V192" s="513">
        <v>2.7134876296887471</v>
      </c>
      <c r="W192" s="513">
        <v>0.42564511838254854</v>
      </c>
      <c r="X192" s="513">
        <v>11.252992817238628</v>
      </c>
      <c r="Y192">
        <f>IF($R192=Cover!$C$5,0,IF($R192="Scotland",0,NA()))</f>
        <v>0</v>
      </c>
      <c r="Z192" t="e">
        <f>IF($R192=Cover!$C$5,NA(),IF($R192="Scotland",NA(),0))</f>
        <v>#N/A</v>
      </c>
    </row>
    <row r="193" spans="1:26">
      <c r="A193" s="417" t="s">
        <v>42</v>
      </c>
      <c r="B193" s="514">
        <v>10</v>
      </c>
      <c r="C193" s="514">
        <v>11</v>
      </c>
      <c r="D193" s="514">
        <v>0</v>
      </c>
      <c r="E193" s="514">
        <v>8</v>
      </c>
      <c r="F193" s="514">
        <v>0</v>
      </c>
      <c r="G193" s="515">
        <v>29</v>
      </c>
      <c r="H193" s="102">
        <f>(B193/'Population Figures'!AI17)*1000</f>
        <v>1.9860973187686195</v>
      </c>
      <c r="I193" s="93">
        <f>(C193/'Population Figures'!AI17)*1000</f>
        <v>2.1847070506454815</v>
      </c>
      <c r="J193" s="93">
        <f>(D193/'Population Figures'!AI17)*1000</f>
        <v>0</v>
      </c>
      <c r="K193" s="93">
        <f>(E193/'Population Figures'!AI17)*1000</f>
        <v>1.5888778550148956</v>
      </c>
      <c r="L193" s="93">
        <f>(F193/'Population Figures'!AI17)*1000</f>
        <v>0</v>
      </c>
      <c r="M193" s="93">
        <f>(G193/'Population Figures'!AI17)*1000</f>
        <v>5.7596822244289978</v>
      </c>
      <c r="N193" s="90"/>
      <c r="R193" s="421" t="s">
        <v>5</v>
      </c>
      <c r="S193" s="513">
        <v>1.4043978656249669</v>
      </c>
      <c r="T193" s="513">
        <v>3.6866653826088895</v>
      </c>
      <c r="U193" s="513">
        <v>1.4934430783317185</v>
      </c>
      <c r="V193" s="513">
        <v>3.9915484478548331</v>
      </c>
      <c r="W193" s="513">
        <v>0.30101153425869376</v>
      </c>
      <c r="X193" s="513">
        <v>10.877066308679101</v>
      </c>
      <c r="Y193">
        <f>IF($R193=Cover!$C$5,0,IF($R193="Scotland",0,NA()))</f>
        <v>0</v>
      </c>
      <c r="Z193" t="e">
        <f>IF($R193=Cover!$C$5,NA(),IF($R193="Scotland",NA(),0))</f>
        <v>#N/A</v>
      </c>
    </row>
    <row r="194" spans="1:26">
      <c r="A194" s="417" t="s">
        <v>43</v>
      </c>
      <c r="B194" s="514">
        <v>59</v>
      </c>
      <c r="C194" s="514">
        <v>105</v>
      </c>
      <c r="D194" s="514">
        <v>37</v>
      </c>
      <c r="E194" s="514">
        <v>30</v>
      </c>
      <c r="F194" s="514">
        <v>14</v>
      </c>
      <c r="G194" s="515">
        <v>245</v>
      </c>
      <c r="H194" s="102">
        <f>(B194/'Population Figures'!AI18)*1000</f>
        <v>1.8478499170033513</v>
      </c>
      <c r="I194" s="93">
        <f>(C194/'Population Figures'!AI18)*1000</f>
        <v>3.2885464624635912</v>
      </c>
      <c r="J194" s="93">
        <f>(D194/'Population Figures'!AI18)*1000</f>
        <v>1.1588211343919321</v>
      </c>
      <c r="K194" s="93">
        <f>(E194/'Population Figures'!AI18)*1000</f>
        <v>0.93958470356102597</v>
      </c>
      <c r="L194" s="93">
        <f>(F194/'Population Figures'!AI18)*1000</f>
        <v>0.43847286166181215</v>
      </c>
      <c r="M194" s="93">
        <f>(G194/'Population Figures'!AI18)*1000</f>
        <v>7.673275079081713</v>
      </c>
      <c r="N194" s="90"/>
      <c r="R194" s="421" t="s">
        <v>47</v>
      </c>
      <c r="S194" s="513">
        <v>1.735415832332132</v>
      </c>
      <c r="T194" s="513">
        <v>2.7366172740622079</v>
      </c>
      <c r="U194" s="513">
        <v>0.4672273394740355</v>
      </c>
      <c r="V194" s="513">
        <v>3.4040849018822588</v>
      </c>
      <c r="W194" s="513">
        <v>0.33373381391002538</v>
      </c>
      <c r="X194" s="513">
        <v>8.6770791616606591</v>
      </c>
      <c r="Y194" t="e">
        <f>IF($R194=Cover!$C$5,0,IF($R194="Scotland",0,NA()))</f>
        <v>#N/A</v>
      </c>
      <c r="Z194">
        <f>IF($R194=Cover!$C$5,NA(),IF($R194="Scotland",NA(),0))</f>
        <v>0</v>
      </c>
    </row>
    <row r="195" spans="1:26">
      <c r="A195" s="417" t="s">
        <v>44</v>
      </c>
      <c r="B195" s="514">
        <v>136</v>
      </c>
      <c r="C195" s="514">
        <v>277</v>
      </c>
      <c r="D195" s="514">
        <v>232</v>
      </c>
      <c r="E195" s="514">
        <v>194</v>
      </c>
      <c r="F195" s="514">
        <v>0</v>
      </c>
      <c r="G195" s="515">
        <v>839</v>
      </c>
      <c r="H195" s="102">
        <f>(B195/'Population Figures'!AI19)*1000</f>
        <v>1.8745951012419193</v>
      </c>
      <c r="I195" s="93">
        <f>(C195/'Population Figures'!AI19)*1000</f>
        <v>3.8181091400294971</v>
      </c>
      <c r="J195" s="93">
        <f>(D195/'Population Figures'!AI19)*1000</f>
        <v>3.1978387021185681</v>
      </c>
      <c r="K195" s="93">
        <f>(E195/'Population Figures'!AI19)*1000</f>
        <v>2.6740547767715617</v>
      </c>
      <c r="L195" s="93">
        <f>(F195/'Population Figures'!AI19)*1000</f>
        <v>0</v>
      </c>
      <c r="M195" s="93">
        <f>(G195/'Population Figures'!AI19)*1000</f>
        <v>11.564597720161546</v>
      </c>
      <c r="N195" s="90"/>
      <c r="R195" s="421" t="s">
        <v>36</v>
      </c>
      <c r="S195" s="513">
        <v>1.1340771904152185</v>
      </c>
      <c r="T195" s="513">
        <v>3.6948966526431315</v>
      </c>
      <c r="U195" s="513">
        <v>7.3166270349368942E-2</v>
      </c>
      <c r="V195" s="513">
        <v>3.6583135174684469</v>
      </c>
      <c r="W195" s="513">
        <v>0.10974940552405341</v>
      </c>
      <c r="X195" s="513">
        <v>8.6702030364002187</v>
      </c>
      <c r="Y195" t="e">
        <f>IF($R195=Cover!$C$5,0,IF($R195="Scotland",0,NA()))</f>
        <v>#N/A</v>
      </c>
      <c r="Z195">
        <f>IF($R195=Cover!$C$5,NA(),IF($R195="Scotland",NA(),0))</f>
        <v>0</v>
      </c>
    </row>
    <row r="196" spans="1:26">
      <c r="A196" s="417" t="s">
        <v>45</v>
      </c>
      <c r="B196" s="514">
        <v>240</v>
      </c>
      <c r="C196" s="514">
        <v>774</v>
      </c>
      <c r="D196" s="514">
        <v>321</v>
      </c>
      <c r="E196" s="514">
        <v>1331</v>
      </c>
      <c r="F196" s="514">
        <v>7</v>
      </c>
      <c r="G196" s="515">
        <v>2673</v>
      </c>
      <c r="H196" s="102">
        <f>(B196/'Population Figures'!AI20)*1000</f>
        <v>2.1968767735203119</v>
      </c>
      <c r="I196" s="93">
        <f>(C196/'Population Figures'!AI20)*1000</f>
        <v>7.0849275946030064</v>
      </c>
      <c r="J196" s="93">
        <f>(D196/'Population Figures'!AI20)*1000</f>
        <v>2.9383226845834174</v>
      </c>
      <c r="K196" s="93">
        <f>(E196/'Population Figures'!AI20)*1000</f>
        <v>12.183512439814731</v>
      </c>
      <c r="L196" s="93">
        <f>(F196/'Population Figures'!AI20)*1000</f>
        <v>6.4075572561009098E-2</v>
      </c>
      <c r="M196" s="93">
        <f>(G196/'Population Figures'!AI20)*1000</f>
        <v>24.467715065082476</v>
      </c>
      <c r="N196" s="90"/>
      <c r="R196" s="421" t="s">
        <v>59</v>
      </c>
      <c r="S196" s="513">
        <v>1.8297754366509567</v>
      </c>
      <c r="T196" s="513">
        <v>2.7723870252287219</v>
      </c>
      <c r="U196" s="513">
        <v>0.60992514555031885</v>
      </c>
      <c r="V196" s="513">
        <v>2.9387302467424452</v>
      </c>
      <c r="W196" s="513">
        <v>0.27723870252287219</v>
      </c>
      <c r="X196" s="513">
        <v>8.4280565566953154</v>
      </c>
      <c r="Y196" t="e">
        <f>IF($R196=Cover!$C$5,0,IF($R196="Scotland",0,NA()))</f>
        <v>#N/A</v>
      </c>
      <c r="Z196">
        <f>IF($R196=Cover!$C$5,NA(),IF($R196="Scotland",NA(),0))</f>
        <v>0</v>
      </c>
    </row>
    <row r="197" spans="1:26">
      <c r="A197" s="417" t="s">
        <v>46</v>
      </c>
      <c r="B197" s="514">
        <v>77</v>
      </c>
      <c r="C197" s="514">
        <v>130</v>
      </c>
      <c r="D197" s="514">
        <v>7</v>
      </c>
      <c r="E197" s="514">
        <v>67</v>
      </c>
      <c r="F197" s="514">
        <v>25</v>
      </c>
      <c r="G197" s="515">
        <v>306</v>
      </c>
      <c r="H197" s="102">
        <f>(B197/'Population Figures'!AI21)*1000</f>
        <v>1.6929029988567408</v>
      </c>
      <c r="I197" s="93">
        <f>(C197/'Population Figures'!AI21)*1000</f>
        <v>2.858147920147744</v>
      </c>
      <c r="J197" s="93">
        <f>(D197/'Population Figures'!AI21)*1000</f>
        <v>0.15390027262334008</v>
      </c>
      <c r="K197" s="93">
        <f>(E197/'Population Figures'!AI21)*1000</f>
        <v>1.4730454665376835</v>
      </c>
      <c r="L197" s="93">
        <f>(F197/'Population Figures'!AI21)*1000</f>
        <v>0.54964383079764312</v>
      </c>
      <c r="M197" s="93">
        <f>(G197/'Population Figures'!AI21)*1000</f>
        <v>6.7276404889631518</v>
      </c>
      <c r="N197" s="90"/>
      <c r="R197" s="421" t="s">
        <v>49</v>
      </c>
      <c r="S197" s="513">
        <v>1.5225494828581929</v>
      </c>
      <c r="T197" s="513">
        <v>3.570116028770935</v>
      </c>
      <c r="U197" s="513">
        <v>1.0500341261090984</v>
      </c>
      <c r="V197" s="513">
        <v>1.9425631333018323</v>
      </c>
      <c r="W197" s="513">
        <v>0.2625085315272746</v>
      </c>
      <c r="X197" s="513">
        <v>8.3477713025673328</v>
      </c>
      <c r="Y197" t="e">
        <f>IF($R197=Cover!$C$5,0,IF($R197="Scotland",0,NA()))</f>
        <v>#N/A</v>
      </c>
      <c r="Z197">
        <f>IF($R197=Cover!$C$5,NA(),IF($R197="Scotland",NA(),0))</f>
        <v>0</v>
      </c>
    </row>
    <row r="198" spans="1:26">
      <c r="A198" s="417" t="s">
        <v>47</v>
      </c>
      <c r="B198" s="514">
        <v>26</v>
      </c>
      <c r="C198" s="514">
        <v>41</v>
      </c>
      <c r="D198" s="514">
        <v>7</v>
      </c>
      <c r="E198" s="514">
        <v>51</v>
      </c>
      <c r="F198" s="514">
        <v>5</v>
      </c>
      <c r="G198" s="515">
        <v>130</v>
      </c>
      <c r="H198" s="102">
        <f>(B198/'Population Figures'!AI22)*1000</f>
        <v>1.735415832332132</v>
      </c>
      <c r="I198" s="93">
        <f>(C198/'Population Figures'!AI22)*1000</f>
        <v>2.7366172740622079</v>
      </c>
      <c r="J198" s="93">
        <f>(D198/'Population Figures'!AI22)*1000</f>
        <v>0.4672273394740355</v>
      </c>
      <c r="K198" s="93">
        <f>(E198/'Population Figures'!AI22)*1000</f>
        <v>3.4040849018822588</v>
      </c>
      <c r="L198" s="93">
        <f>(F198/'Population Figures'!AI22)*1000</f>
        <v>0.33373381391002538</v>
      </c>
      <c r="M198" s="93">
        <f>(G198/'Population Figures'!AI22)*1000</f>
        <v>8.6770791616606591</v>
      </c>
      <c r="N198" s="90"/>
      <c r="R198" s="421" t="s">
        <v>55</v>
      </c>
      <c r="S198" s="513">
        <v>1.569931200073879</v>
      </c>
      <c r="T198" s="513">
        <v>3.0936879530867616</v>
      </c>
      <c r="U198" s="513">
        <v>0.69261670591494673</v>
      </c>
      <c r="V198" s="513">
        <v>2.2625479059888258</v>
      </c>
      <c r="W198" s="513">
        <v>0.27704668236597868</v>
      </c>
      <c r="X198" s="513">
        <v>7.8958304474303924</v>
      </c>
      <c r="Y198" t="e">
        <f>IF($R198=Cover!$C$5,0,IF($R198="Scotland",0,NA()))</f>
        <v>#N/A</v>
      </c>
      <c r="Z198">
        <f>IF($R198=Cover!$C$5,NA(),IF($R198="Scotland",NA(),0))</f>
        <v>0</v>
      </c>
    </row>
    <row r="199" spans="1:26">
      <c r="A199" s="417" t="s">
        <v>48</v>
      </c>
      <c r="B199" s="514">
        <v>30</v>
      </c>
      <c r="C199" s="514">
        <v>67</v>
      </c>
      <c r="D199" s="514">
        <v>31</v>
      </c>
      <c r="E199" s="514">
        <v>78</v>
      </c>
      <c r="F199" s="514">
        <v>4</v>
      </c>
      <c r="G199" s="515">
        <v>210</v>
      </c>
      <c r="H199" s="102">
        <f>(B199/'Population Figures'!AI23)*1000</f>
        <v>1.6289297931259161</v>
      </c>
      <c r="I199" s="93">
        <f>(C199/'Population Figures'!AI23)*1000</f>
        <v>3.6379432046478795</v>
      </c>
      <c r="J199" s="93">
        <f>(D199/'Population Figures'!AI23)*1000</f>
        <v>1.6832274528967803</v>
      </c>
      <c r="K199" s="93">
        <f>(E199/'Population Figures'!AI23)*1000</f>
        <v>4.235217462127383</v>
      </c>
      <c r="L199" s="93">
        <f>(F199/'Population Figures'!AI23)*1000</f>
        <v>0.21719063908345551</v>
      </c>
      <c r="M199" s="93">
        <f>(G199/'Population Figures'!AI23)*1000</f>
        <v>11.402508551881414</v>
      </c>
      <c r="N199" s="90"/>
      <c r="R199" s="421" t="s">
        <v>61</v>
      </c>
      <c r="S199" s="513">
        <v>1.1392116655274549</v>
      </c>
      <c r="T199" s="513">
        <v>3.493582440950862</v>
      </c>
      <c r="U199" s="513">
        <v>0.25315814789499003</v>
      </c>
      <c r="V199" s="513">
        <v>2.7341079972658924</v>
      </c>
      <c r="W199" s="513">
        <v>0.12657907394749501</v>
      </c>
      <c r="X199" s="513">
        <v>7.7466393255866945</v>
      </c>
      <c r="Y199" t="e">
        <f>IF($R199=Cover!$C$5,0,IF($R199="Scotland",0,NA()))</f>
        <v>#N/A</v>
      </c>
      <c r="Z199">
        <f>IF($R199=Cover!$C$5,NA(),IF($R199="Scotland",NA(),0))</f>
        <v>0</v>
      </c>
    </row>
    <row r="200" spans="1:26">
      <c r="A200" s="417" t="s">
        <v>49</v>
      </c>
      <c r="B200" s="514">
        <v>29</v>
      </c>
      <c r="C200" s="514">
        <v>68</v>
      </c>
      <c r="D200" s="514">
        <v>20</v>
      </c>
      <c r="E200" s="514">
        <v>37</v>
      </c>
      <c r="F200" s="514">
        <v>5</v>
      </c>
      <c r="G200" s="515">
        <v>159</v>
      </c>
      <c r="H200" s="102">
        <f>(B200/'Population Figures'!AI24)*1000</f>
        <v>1.5225494828581929</v>
      </c>
      <c r="I200" s="93">
        <f>(C200/'Population Figures'!AI24)*1000</f>
        <v>3.570116028770935</v>
      </c>
      <c r="J200" s="93">
        <f>(D200/'Population Figures'!AI24)*1000</f>
        <v>1.0500341261090984</v>
      </c>
      <c r="K200" s="93">
        <f>(E200/'Population Figures'!AI24)*1000</f>
        <v>1.9425631333018323</v>
      </c>
      <c r="L200" s="93">
        <f>(F200/'Population Figures'!AI24)*1000</f>
        <v>0.2625085315272746</v>
      </c>
      <c r="M200" s="93">
        <f>(G200/'Population Figures'!AI24)*1000</f>
        <v>8.3477713025673328</v>
      </c>
      <c r="N200" s="90"/>
      <c r="R200" s="421" t="s">
        <v>43</v>
      </c>
      <c r="S200" s="513">
        <v>1.8478499170033513</v>
      </c>
      <c r="T200" s="513">
        <v>3.2885464624635912</v>
      </c>
      <c r="U200" s="513">
        <v>1.1588211343919321</v>
      </c>
      <c r="V200" s="513">
        <v>0.93958470356102597</v>
      </c>
      <c r="W200" s="513">
        <v>0.43847286166181215</v>
      </c>
      <c r="X200" s="513">
        <v>7.673275079081713</v>
      </c>
      <c r="Y200" t="e">
        <f>IF($R200=Cover!$C$5,0,IF($R200="Scotland",0,NA()))</f>
        <v>#N/A</v>
      </c>
      <c r="Z200">
        <f>IF($R200=Cover!$C$5,NA(),IF($R200="Scotland",NA(),0))</f>
        <v>0</v>
      </c>
    </row>
    <row r="201" spans="1:26">
      <c r="A201" s="417" t="s">
        <v>50</v>
      </c>
      <c r="B201" s="514">
        <v>53</v>
      </c>
      <c r="C201" s="514">
        <v>130</v>
      </c>
      <c r="D201" s="514">
        <v>33</v>
      </c>
      <c r="E201" s="514">
        <v>170</v>
      </c>
      <c r="F201" s="514">
        <v>15</v>
      </c>
      <c r="G201" s="515">
        <v>401</v>
      </c>
      <c r="H201" s="102">
        <f>(B201/'Population Figures'!AI25)*1000</f>
        <v>1.9816788184707423</v>
      </c>
      <c r="I201" s="93">
        <f>(C201/'Population Figures'!AI25)*1000</f>
        <v>4.8607216302112546</v>
      </c>
      <c r="J201" s="93">
        <f>(D201/'Population Figures'!AI25)*1000</f>
        <v>1.2338754907459339</v>
      </c>
      <c r="K201" s="93">
        <f>(E201/'Population Figures'!AI25)*1000</f>
        <v>6.3563282856608714</v>
      </c>
      <c r="L201" s="93">
        <f>(F201/'Population Figures'!AI25)*1000</f>
        <v>0.5608524957936063</v>
      </c>
      <c r="M201" s="93">
        <f>(G201/'Population Figures'!AI25)*1000</f>
        <v>14.993456720882408</v>
      </c>
      <c r="N201" s="90"/>
      <c r="R201" s="421" t="s">
        <v>34</v>
      </c>
      <c r="S201" s="513">
        <v>1.4079999999999999</v>
      </c>
      <c r="T201" s="513">
        <v>3.2639999999999998</v>
      </c>
      <c r="U201" s="513">
        <v>0.25600000000000001</v>
      </c>
      <c r="V201" s="513">
        <v>2.56</v>
      </c>
      <c r="W201" s="513">
        <v>6.4000000000000001E-2</v>
      </c>
      <c r="X201" s="513">
        <v>7.5519999999999996</v>
      </c>
      <c r="Y201" t="e">
        <f>IF($R201=Cover!$C$5,0,IF($R201="Scotland",0,NA()))</f>
        <v>#N/A</v>
      </c>
      <c r="Z201">
        <f>IF($R201=Cover!$C$5,NA(),IF($R201="Scotland",NA(),0))</f>
        <v>0</v>
      </c>
    </row>
    <row r="202" spans="1:26">
      <c r="A202" s="417" t="s">
        <v>51</v>
      </c>
      <c r="B202" s="514">
        <v>39</v>
      </c>
      <c r="C202" s="514">
        <v>125</v>
      </c>
      <c r="D202" s="514">
        <v>31</v>
      </c>
      <c r="E202" s="514">
        <v>227</v>
      </c>
      <c r="F202" s="514">
        <v>9</v>
      </c>
      <c r="G202" s="515">
        <v>431</v>
      </c>
      <c r="H202" s="102">
        <f>(B202/'Population Figures'!AI26)*1000</f>
        <v>0.5414410662224074</v>
      </c>
      <c r="I202" s="93">
        <f>(C202/'Population Figures'!AI26)*1000</f>
        <v>1.735388032764126</v>
      </c>
      <c r="J202" s="93">
        <f>(D202/'Population Figures'!AI26)*1000</f>
        <v>0.4303762321255033</v>
      </c>
      <c r="K202" s="93">
        <f>(E202/'Population Figures'!AI26)*1000</f>
        <v>3.1514646674996527</v>
      </c>
      <c r="L202" s="93">
        <f>(F202/'Population Figures'!AI26)*1000</f>
        <v>0.12494793835901707</v>
      </c>
      <c r="M202" s="93">
        <f>(G202/'Population Figures'!AI26)*1000</f>
        <v>5.983617936970707</v>
      </c>
      <c r="N202" s="90"/>
      <c r="R202" s="421" t="s">
        <v>53</v>
      </c>
      <c r="S202" s="513">
        <v>0.7102524947618879</v>
      </c>
      <c r="T202" s="513">
        <v>2.8054973543094568</v>
      </c>
      <c r="U202" s="513">
        <v>0.7102524947618879</v>
      </c>
      <c r="V202" s="513">
        <v>2.8410099790475516</v>
      </c>
      <c r="W202" s="513">
        <v>0.42615149685713266</v>
      </c>
      <c r="X202" s="513">
        <v>7.4931638197379167</v>
      </c>
      <c r="Y202" t="e">
        <f>IF($R202=Cover!$C$5,0,IF($R202="Scotland",0,NA()))</f>
        <v>#N/A</v>
      </c>
      <c r="Z202">
        <f>IF($R202=Cover!$C$5,NA(),IF($R202="Scotland",NA(),0))</f>
        <v>0</v>
      </c>
    </row>
    <row r="203" spans="1:26">
      <c r="A203" s="417" t="s">
        <v>52</v>
      </c>
      <c r="B203" s="514">
        <v>13</v>
      </c>
      <c r="C203" s="514">
        <v>8</v>
      </c>
      <c r="D203" s="514">
        <v>0</v>
      </c>
      <c r="E203" s="514">
        <v>4</v>
      </c>
      <c r="F203" s="514">
        <v>1</v>
      </c>
      <c r="G203" s="515">
        <v>26</v>
      </c>
      <c r="H203" s="102">
        <f>(B203/'Population Figures'!AI27)*1000</f>
        <v>3.2410870107205185</v>
      </c>
      <c r="I203" s="93">
        <f>(C203/'Population Figures'!AI27)*1000</f>
        <v>1.9945150835203191</v>
      </c>
      <c r="J203" s="93">
        <f>(D203/'Population Figures'!AI27)*1000</f>
        <v>0</v>
      </c>
      <c r="K203" s="93">
        <f>(E203/'Population Figures'!AI27)*1000</f>
        <v>0.99725754176015957</v>
      </c>
      <c r="L203" s="93">
        <f>(F203/'Population Figures'!AI27)*1000</f>
        <v>0.24931438544003989</v>
      </c>
      <c r="M203" s="93">
        <f>(G203/'Population Figures'!AI27)*1000</f>
        <v>6.482174021441037</v>
      </c>
      <c r="N203" s="90"/>
      <c r="R203" s="421" t="s">
        <v>33</v>
      </c>
      <c r="S203" s="513">
        <v>0.62191817333747945</v>
      </c>
      <c r="T203" s="513">
        <v>4.3534272133623562</v>
      </c>
      <c r="U203" s="513">
        <v>0.26653636000177694</v>
      </c>
      <c r="V203" s="513">
        <v>1.6436408866776244</v>
      </c>
      <c r="W203" s="513">
        <v>0.57749544667051667</v>
      </c>
      <c r="X203" s="513">
        <v>7.4630180800497534</v>
      </c>
      <c r="Y203" t="e">
        <f>IF($R203=Cover!$C$5,0,IF($R203="Scotland",0,NA()))</f>
        <v>#N/A</v>
      </c>
      <c r="Z203">
        <f>IF($R203=Cover!$C$5,NA(),IF($R203="Scotland",NA(),0))</f>
        <v>0</v>
      </c>
    </row>
    <row r="204" spans="1:26">
      <c r="A204" s="417" t="s">
        <v>53</v>
      </c>
      <c r="B204" s="514">
        <v>20</v>
      </c>
      <c r="C204" s="514">
        <v>79</v>
      </c>
      <c r="D204" s="514">
        <v>20</v>
      </c>
      <c r="E204" s="514">
        <v>80</v>
      </c>
      <c r="F204" s="514">
        <v>12</v>
      </c>
      <c r="G204" s="515">
        <v>211</v>
      </c>
      <c r="H204" s="102">
        <f>(B204/'Population Figures'!AI28)*1000</f>
        <v>0.7102524947618879</v>
      </c>
      <c r="I204" s="93">
        <f>(C204/'Population Figures'!AI28)*1000</f>
        <v>2.8054973543094568</v>
      </c>
      <c r="J204" s="93">
        <f>(D204/'Population Figures'!AI28)*1000</f>
        <v>0.7102524947618879</v>
      </c>
      <c r="K204" s="93">
        <f>(E204/'Population Figures'!AI28)*1000</f>
        <v>2.8410099790475516</v>
      </c>
      <c r="L204" s="93">
        <f>(F204/'Population Figures'!AI28)*1000</f>
        <v>0.42615149685713266</v>
      </c>
      <c r="M204" s="93">
        <f>(G204/'Population Figures'!AI28)*1000</f>
        <v>7.4931638197379167</v>
      </c>
      <c r="N204" s="90"/>
      <c r="R204" s="421" t="s">
        <v>40</v>
      </c>
      <c r="S204" s="513">
        <v>0.89289910240142867</v>
      </c>
      <c r="T204" s="513">
        <v>3.6185910992057897</v>
      </c>
      <c r="U204" s="513">
        <v>0.2819681376004512</v>
      </c>
      <c r="V204" s="513">
        <v>1.9267822736030829</v>
      </c>
      <c r="W204" s="513">
        <v>0.1409840688002256</v>
      </c>
      <c r="X204" s="513">
        <v>6.8612246816109774</v>
      </c>
      <c r="Y204" t="e">
        <f>IF($R204=Cover!$C$5,0,IF($R204="Scotland",0,NA()))</f>
        <v>#N/A</v>
      </c>
      <c r="Z204">
        <f>IF($R204=Cover!$C$5,NA(),IF($R204="Scotland",NA(),0))</f>
        <v>0</v>
      </c>
    </row>
    <row r="205" spans="1:26">
      <c r="A205" s="417" t="s">
        <v>54</v>
      </c>
      <c r="B205" s="514">
        <v>49</v>
      </c>
      <c r="C205" s="514">
        <v>125</v>
      </c>
      <c r="D205" s="514">
        <v>92</v>
      </c>
      <c r="E205" s="514">
        <v>176</v>
      </c>
      <c r="F205" s="514">
        <v>18</v>
      </c>
      <c r="G205" s="515">
        <v>460</v>
      </c>
      <c r="H205" s="102">
        <f>(B205/'Population Figures'!AI29)*1000</f>
        <v>1.4377090546329441</v>
      </c>
      <c r="I205" s="93">
        <f>(C205/'Population Figures'!AI29)*1000</f>
        <v>3.667625139369755</v>
      </c>
      <c r="J205" s="93">
        <f>(D205/'Population Figures'!AI29)*1000</f>
        <v>2.6993721025761399</v>
      </c>
      <c r="K205" s="93">
        <f>(E205/'Population Figures'!AI29)*1000</f>
        <v>5.1640161962326161</v>
      </c>
      <c r="L205" s="93">
        <f>(F205/'Population Figures'!AI29)*1000</f>
        <v>0.52813802006924482</v>
      </c>
      <c r="M205" s="93">
        <f>(G205/'Population Figures'!AI29)*1000</f>
        <v>13.4968605128807</v>
      </c>
      <c r="N205" s="90"/>
      <c r="R205" s="421" t="s">
        <v>46</v>
      </c>
      <c r="S205" s="513">
        <v>1.6929029988567408</v>
      </c>
      <c r="T205" s="513">
        <v>2.858147920147744</v>
      </c>
      <c r="U205" s="513">
        <v>0.15390027262334008</v>
      </c>
      <c r="V205" s="513">
        <v>1.4730454665376835</v>
      </c>
      <c r="W205" s="513">
        <v>0.54964383079764312</v>
      </c>
      <c r="X205" s="513">
        <v>6.7276404889631518</v>
      </c>
      <c r="Y205" t="e">
        <f>IF($R205=Cover!$C$5,0,IF($R205="Scotland",0,NA()))</f>
        <v>#N/A</v>
      </c>
      <c r="Z205">
        <f>IF($R205=Cover!$C$5,NA(),IF($R205="Scotland",NA(),0))</f>
        <v>0</v>
      </c>
    </row>
    <row r="206" spans="1:26">
      <c r="A206" s="417" t="s">
        <v>55</v>
      </c>
      <c r="B206" s="514">
        <v>34</v>
      </c>
      <c r="C206" s="514">
        <v>67</v>
      </c>
      <c r="D206" s="514">
        <v>15</v>
      </c>
      <c r="E206" s="514">
        <v>49</v>
      </c>
      <c r="F206" s="514">
        <v>6</v>
      </c>
      <c r="G206" s="515">
        <v>171</v>
      </c>
      <c r="H206" s="102">
        <f>(B206/'Population Figures'!AI30)*1000</f>
        <v>1.569931200073879</v>
      </c>
      <c r="I206" s="93">
        <f>(C206/'Population Figures'!AI30)*1000</f>
        <v>3.0936879530867616</v>
      </c>
      <c r="J206" s="93">
        <f>(D206/'Population Figures'!AI30)*1000</f>
        <v>0.69261670591494673</v>
      </c>
      <c r="K206" s="93">
        <f>(E206/'Population Figures'!AI30)*1000</f>
        <v>2.2625479059888258</v>
      </c>
      <c r="L206" s="93">
        <f>(F206/'Population Figures'!AI30)*1000</f>
        <v>0.27704668236597868</v>
      </c>
      <c r="M206" s="93">
        <f>(G206/'Population Figures'!AI30)*1000</f>
        <v>7.8958304474303924</v>
      </c>
      <c r="N206" s="90"/>
      <c r="R206" s="421" t="s">
        <v>52</v>
      </c>
      <c r="S206" s="513">
        <v>3.2410870107205185</v>
      </c>
      <c r="T206" s="513">
        <v>1.9945150835203191</v>
      </c>
      <c r="U206" s="513">
        <v>0</v>
      </c>
      <c r="V206" s="513">
        <v>0.99725754176015957</v>
      </c>
      <c r="W206" s="513">
        <v>0.24931438544003989</v>
      </c>
      <c r="X206" s="513">
        <v>6.482174021441037</v>
      </c>
      <c r="Y206" t="e">
        <f>IF($R206=Cover!$C$5,0,IF($R206="Scotland",0,NA()))</f>
        <v>#N/A</v>
      </c>
      <c r="Z206">
        <f>IF($R206=Cover!$C$5,NA(),IF($R206="Scotland",NA(),0))</f>
        <v>0</v>
      </c>
    </row>
    <row r="207" spans="1:26">
      <c r="A207" s="417" t="s">
        <v>56</v>
      </c>
      <c r="B207" s="514">
        <v>4</v>
      </c>
      <c r="C207" s="514">
        <v>9</v>
      </c>
      <c r="D207" s="514">
        <v>0</v>
      </c>
      <c r="E207" s="514">
        <v>10</v>
      </c>
      <c r="F207" s="514">
        <v>0</v>
      </c>
      <c r="G207" s="515">
        <v>23</v>
      </c>
      <c r="H207" s="102">
        <f>(B207/'Population Figures'!AI31)*1000</f>
        <v>0.82034454470877771</v>
      </c>
      <c r="I207" s="93">
        <f>(C207/'Population Figures'!AI31)*1000</f>
        <v>1.8457752255947497</v>
      </c>
      <c r="J207" s="93">
        <f>(D207/'Population Figures'!AI31)*1000</f>
        <v>0</v>
      </c>
      <c r="K207" s="93">
        <f>(E207/'Population Figures'!AI31)*1000</f>
        <v>2.0508613617719442</v>
      </c>
      <c r="L207" s="93">
        <f>(F207/'Population Figures'!AI31)*1000</f>
        <v>0</v>
      </c>
      <c r="M207" s="93">
        <f>(G207/'Population Figures'!AI31)*1000</f>
        <v>4.7169811320754711</v>
      </c>
      <c r="N207" s="90"/>
      <c r="R207" s="421" t="s">
        <v>51</v>
      </c>
      <c r="S207" s="513">
        <v>0.5414410662224074</v>
      </c>
      <c r="T207" s="513">
        <v>1.735388032764126</v>
      </c>
      <c r="U207" s="513">
        <v>0.4303762321255033</v>
      </c>
      <c r="V207" s="513">
        <v>3.1514646674996527</v>
      </c>
      <c r="W207" s="513">
        <v>0.12494793835901707</v>
      </c>
      <c r="X207" s="513">
        <v>5.983617936970707</v>
      </c>
      <c r="Y207" t="e">
        <f>IF($R207=Cover!$C$5,0,IF($R207="Scotland",0,NA()))</f>
        <v>#N/A</v>
      </c>
      <c r="Z207">
        <f>IF($R207=Cover!$C$5,NA(),IF($R207="Scotland",NA(),0))</f>
        <v>0</v>
      </c>
    </row>
    <row r="208" spans="1:26">
      <c r="A208" s="417" t="s">
        <v>57</v>
      </c>
      <c r="B208" s="514">
        <v>27</v>
      </c>
      <c r="C208" s="514">
        <v>95</v>
      </c>
      <c r="D208" s="514">
        <v>42</v>
      </c>
      <c r="E208" s="514">
        <v>66</v>
      </c>
      <c r="F208" s="514">
        <v>13</v>
      </c>
      <c r="G208" s="515">
        <v>243</v>
      </c>
      <c r="H208" s="102">
        <f>(B208/'Population Figures'!AI32)*1000</f>
        <v>1.3206808843670514</v>
      </c>
      <c r="I208" s="93">
        <f>(C208/'Population Figures'!AI32)*1000</f>
        <v>4.6468401486988853</v>
      </c>
      <c r="J208" s="93">
        <f>(D208/'Population Figures'!AI32)*1000</f>
        <v>2.0543924867931911</v>
      </c>
      <c r="K208" s="93">
        <f>(E208/'Population Figures'!AI32)*1000</f>
        <v>3.2283310506750147</v>
      </c>
      <c r="L208" s="93">
        <f>(F208/'Population Figures'!AI32)*1000</f>
        <v>0.63588338876932105</v>
      </c>
      <c r="M208" s="93">
        <f>(G208/'Population Figures'!AI32)*1000</f>
        <v>11.886127959303463</v>
      </c>
      <c r="N208" s="90"/>
      <c r="R208" s="421" t="s">
        <v>58</v>
      </c>
      <c r="S208" s="513">
        <v>1.1092355919942127</v>
      </c>
      <c r="T208" s="513">
        <v>2.5078369905956115</v>
      </c>
      <c r="U208" s="513">
        <v>0.16075878144843661</v>
      </c>
      <c r="V208" s="513">
        <v>1.7522707177879591</v>
      </c>
      <c r="W208" s="513">
        <v>0.28936580660718592</v>
      </c>
      <c r="X208" s="513">
        <v>5.8194678884334055</v>
      </c>
      <c r="Y208" t="e">
        <f>IF($R208=Cover!$C$5,0,IF($R208="Scotland",0,NA()))</f>
        <v>#N/A</v>
      </c>
      <c r="Z208">
        <f>IF($R208=Cover!$C$5,NA(),IF($R208="Scotland",NA(),0))</f>
        <v>0</v>
      </c>
    </row>
    <row r="209" spans="1:26">
      <c r="A209" s="417" t="s">
        <v>58</v>
      </c>
      <c r="B209" s="514">
        <v>69</v>
      </c>
      <c r="C209" s="514">
        <v>156</v>
      </c>
      <c r="D209" s="514">
        <v>10</v>
      </c>
      <c r="E209" s="514">
        <v>109</v>
      </c>
      <c r="F209" s="514">
        <v>18</v>
      </c>
      <c r="G209" s="515">
        <v>362</v>
      </c>
      <c r="H209" s="102">
        <f>(B209/'Population Figures'!AI33)*1000</f>
        <v>1.1092355919942127</v>
      </c>
      <c r="I209" s="93">
        <f>(C209/'Population Figures'!AI33)*1000</f>
        <v>2.5078369905956115</v>
      </c>
      <c r="J209" s="93">
        <f>(D209/'Population Figures'!AI33)*1000</f>
        <v>0.16075878144843661</v>
      </c>
      <c r="K209" s="93">
        <f>(E209/'Population Figures'!AI33)*1000</f>
        <v>1.7522707177879591</v>
      </c>
      <c r="L209" s="93">
        <f>(F209/'Population Figures'!AI33)*1000</f>
        <v>0.28936580660718592</v>
      </c>
      <c r="M209" s="93">
        <f>(G209/'Population Figures'!AI33)*1000</f>
        <v>5.8194678884334055</v>
      </c>
      <c r="N209" s="90"/>
      <c r="R209" s="421" t="s">
        <v>39</v>
      </c>
      <c r="S209" s="513">
        <v>0.99776690264645795</v>
      </c>
      <c r="T209" s="513">
        <v>0.7126906447474699</v>
      </c>
      <c r="U209" s="513">
        <v>1.3778685798451085</v>
      </c>
      <c r="V209" s="513">
        <v>2.5181736114410604</v>
      </c>
      <c r="W209" s="513">
        <v>0.19005083859932534</v>
      </c>
      <c r="X209" s="513">
        <v>5.7965505772794224</v>
      </c>
      <c r="Y209" t="e">
        <f>IF($R209=Cover!$C$5,0,IF($R209="Scotland",0,NA()))</f>
        <v>#N/A</v>
      </c>
      <c r="Z209">
        <f>IF($R209=Cover!$C$5,NA(),IF($R209="Scotland",NA(),0))</f>
        <v>0</v>
      </c>
    </row>
    <row r="210" spans="1:26">
      <c r="A210" s="417" t="s">
        <v>59</v>
      </c>
      <c r="B210" s="514">
        <v>33</v>
      </c>
      <c r="C210" s="514">
        <v>50</v>
      </c>
      <c r="D210" s="514">
        <v>11</v>
      </c>
      <c r="E210" s="514">
        <v>53</v>
      </c>
      <c r="F210" s="514">
        <v>5</v>
      </c>
      <c r="G210" s="515">
        <v>152</v>
      </c>
      <c r="H210" s="102">
        <f>(B210/'Population Figures'!AI34)*1000</f>
        <v>1.8297754366509567</v>
      </c>
      <c r="I210" s="93">
        <f>(C210/'Population Figures'!AI34)*1000</f>
        <v>2.7723870252287219</v>
      </c>
      <c r="J210" s="93">
        <f>(D210/'Population Figures'!AI34)*1000</f>
        <v>0.60992514555031885</v>
      </c>
      <c r="K210" s="93">
        <f>(E210/'Population Figures'!AI34)*1000</f>
        <v>2.9387302467424452</v>
      </c>
      <c r="L210" s="93">
        <f>(F210/'Population Figures'!AI34)*1000</f>
        <v>0.27723870252287219</v>
      </c>
      <c r="M210" s="93">
        <f>(G210/'Population Figures'!AI34)*1000</f>
        <v>8.4280565566953154</v>
      </c>
      <c r="N210" s="90"/>
      <c r="R210" s="421" t="s">
        <v>42</v>
      </c>
      <c r="S210" s="513">
        <v>1.9860973187686195</v>
      </c>
      <c r="T210" s="513">
        <v>2.1847070506454815</v>
      </c>
      <c r="U210" s="513">
        <v>0</v>
      </c>
      <c r="V210" s="513">
        <v>1.5888778550148956</v>
      </c>
      <c r="W210" s="513">
        <v>0</v>
      </c>
      <c r="X210" s="513">
        <v>5.7596822244289978</v>
      </c>
      <c r="Y210" t="e">
        <f>IF($R210=Cover!$C$5,0,IF($R210="Scotland",0,NA()))</f>
        <v>#N/A</v>
      </c>
      <c r="Z210">
        <f>IF($R210=Cover!$C$5,NA(),IF($R210="Scotland",NA(),0))</f>
        <v>0</v>
      </c>
    </row>
    <row r="211" spans="1:26">
      <c r="A211" s="417" t="s">
        <v>60</v>
      </c>
      <c r="B211" s="514">
        <v>42</v>
      </c>
      <c r="C211" s="514">
        <v>54</v>
      </c>
      <c r="D211" s="514">
        <v>24</v>
      </c>
      <c r="E211" s="514">
        <v>145</v>
      </c>
      <c r="F211" s="514">
        <v>12</v>
      </c>
      <c r="G211" s="515">
        <v>277</v>
      </c>
      <c r="H211" s="102">
        <f>(B211/'Population Figures'!AI35)*1000</f>
        <v>2.3644654619152172</v>
      </c>
      <c r="I211" s="93">
        <f>(C211/'Population Figures'!AI35)*1000</f>
        <v>3.040027022462422</v>
      </c>
      <c r="J211" s="93">
        <f>(D211/'Population Figures'!AI35)*1000</f>
        <v>1.3511231210944097</v>
      </c>
      <c r="K211" s="93">
        <f>(E211/'Population Figures'!AI35)*1000</f>
        <v>8.1630355232787242</v>
      </c>
      <c r="L211" s="93">
        <f>(F211/'Population Figures'!AI35)*1000</f>
        <v>0.67556156054720484</v>
      </c>
      <c r="M211" s="93">
        <f>(G211/'Population Figures'!AI35)*1000</f>
        <v>15.594212689297979</v>
      </c>
      <c r="N211" s="90"/>
      <c r="R211" s="421" t="s">
        <v>32</v>
      </c>
      <c r="S211" s="513">
        <v>0.94980638562139252</v>
      </c>
      <c r="T211" s="513">
        <v>2.5937020530430335</v>
      </c>
      <c r="U211" s="513">
        <v>0.2922481186527362</v>
      </c>
      <c r="V211" s="513">
        <v>1.3881785636004969</v>
      </c>
      <c r="W211" s="513">
        <v>0.27398261123694018</v>
      </c>
      <c r="X211" s="513">
        <v>5.4979177321545984</v>
      </c>
      <c r="Y211" t="e">
        <f>IF($R211=Cover!$C$5,0,IF($R211="Scotland",0,NA()))</f>
        <v>#N/A</v>
      </c>
      <c r="Z211">
        <f>IF($R211=Cover!$C$5,NA(),IF($R211="Scotland",NA(),0))</f>
        <v>0</v>
      </c>
    </row>
    <row r="212" spans="1:26">
      <c r="A212" s="417" t="s">
        <v>61</v>
      </c>
      <c r="B212" s="514">
        <v>45</v>
      </c>
      <c r="C212" s="514">
        <v>138</v>
      </c>
      <c r="D212" s="514">
        <v>10</v>
      </c>
      <c r="E212" s="514">
        <v>108</v>
      </c>
      <c r="F212" s="514">
        <v>5</v>
      </c>
      <c r="G212" s="515">
        <v>306</v>
      </c>
      <c r="H212" s="102">
        <f>(B212/'Population Figures'!AI36)*1000</f>
        <v>1.1392116655274549</v>
      </c>
      <c r="I212" s="93">
        <f>(C212/'Population Figures'!AI36)*1000</f>
        <v>3.493582440950862</v>
      </c>
      <c r="J212" s="93">
        <f>(D212/'Population Figures'!AI36)*1000</f>
        <v>0.25315814789499003</v>
      </c>
      <c r="K212" s="93">
        <f>(E212/'Population Figures'!AI36)*1000</f>
        <v>2.7341079972658924</v>
      </c>
      <c r="L212" s="93">
        <f>(F212/'Population Figures'!AI36)*1000</f>
        <v>0.12657907394749501</v>
      </c>
      <c r="M212" s="93">
        <f>(G212/'Population Figures'!AI36)*1000</f>
        <v>7.7466393255866945</v>
      </c>
      <c r="N212" s="90"/>
      <c r="R212" s="421" t="s">
        <v>56</v>
      </c>
      <c r="S212" s="513">
        <v>0.82034454470877771</v>
      </c>
      <c r="T212" s="513">
        <v>1.8457752255947497</v>
      </c>
      <c r="U212" s="513">
        <v>0</v>
      </c>
      <c r="V212" s="513">
        <v>2.0508613617719442</v>
      </c>
      <c r="W212" s="513">
        <v>0</v>
      </c>
      <c r="X212" s="513">
        <v>4.7169811320754711</v>
      </c>
      <c r="Y212" t="e">
        <f>IF($R212=Cover!$C$5,0,IF($R212="Scotland",0,NA()))</f>
        <v>#N/A</v>
      </c>
      <c r="Z212">
        <f>IF($R212=Cover!$C$5,NA(),IF($R212="Scotland",NA(),0))</f>
        <v>0</v>
      </c>
    </row>
    <row r="213" spans="1:26">
      <c r="A213" s="422" t="s">
        <v>5</v>
      </c>
      <c r="B213" s="516">
        <v>1451</v>
      </c>
      <c r="C213" s="516">
        <v>3809</v>
      </c>
      <c r="D213" s="516">
        <v>1543</v>
      </c>
      <c r="E213" s="516">
        <v>4124</v>
      </c>
      <c r="F213" s="516">
        <v>311</v>
      </c>
      <c r="G213" s="62">
        <v>11238</v>
      </c>
      <c r="H213" s="103">
        <f>(B213/'Population Figures'!AI37)*1000</f>
        <v>1.4043978656249669</v>
      </c>
      <c r="I213" s="95">
        <f>(C213/'Population Figures'!AI37)*1000</f>
        <v>3.6866653826088895</v>
      </c>
      <c r="J213" s="95">
        <f>(D213/'Population Figures'!AI37)*1000</f>
        <v>1.4934430783317185</v>
      </c>
      <c r="K213" s="95">
        <f>(E213/'Population Figures'!AI37)*1000</f>
        <v>3.9915484478548331</v>
      </c>
      <c r="L213" s="95">
        <f>(F213/'Population Figures'!AI37)*1000</f>
        <v>0.30101153425869376</v>
      </c>
      <c r="M213" s="95">
        <f>(G213/'Population Figures'!AI37)*1000</f>
        <v>10.877066308679101</v>
      </c>
      <c r="N213" s="90"/>
      <c r="R213" s="421" t="s">
        <v>41</v>
      </c>
      <c r="S213" s="513">
        <v>0.33762600684898469</v>
      </c>
      <c r="T213" s="513">
        <v>1.2540394540105146</v>
      </c>
      <c r="U213" s="513">
        <v>0</v>
      </c>
      <c r="V213" s="513">
        <v>1.7363623209376355</v>
      </c>
      <c r="W213" s="513">
        <v>9.6464573385424204E-2</v>
      </c>
      <c r="X213" s="513">
        <v>3.4244923551825592</v>
      </c>
      <c r="Y213" t="e">
        <f>IF($R213=Cover!$C$5,0,IF($R213="Scotland",0,NA()))</f>
        <v>#N/A</v>
      </c>
      <c r="Z213">
        <f>IF($R213=Cover!$C$5,NA(),IF($R213="Scotland",NA(),0))</f>
        <v>0</v>
      </c>
    </row>
    <row r="214" spans="1:26">
      <c r="H214" s="18">
        <f>H213/$M$213</f>
        <v>0.12911550097882188</v>
      </c>
      <c r="I214" s="18">
        <f>I213/$M$213</f>
        <v>0.33893931304502584</v>
      </c>
      <c r="J214" s="18">
        <f>J213/$M$213</f>
        <v>0.13730201103399181</v>
      </c>
      <c r="K214" s="18">
        <f>K213/$M$213</f>
        <v>0.36696921160348817</v>
      </c>
      <c r="L214" s="18">
        <f>L213/$M$213</f>
        <v>2.767396333867236E-2</v>
      </c>
    </row>
    <row r="215" spans="1:26">
      <c r="S215" s="97" t="str">
        <f t="shared" ref="S215:X215" si="7">S180</f>
        <v>Residential placements</v>
      </c>
      <c r="T215" s="97" t="str">
        <f t="shared" si="7"/>
        <v>Directly provided foster care</v>
      </c>
      <c r="U215" s="97" t="str">
        <f t="shared" si="7"/>
        <v>Purchased foster care</v>
      </c>
      <c r="V215" s="97" t="str">
        <f t="shared" si="7"/>
        <v>With relatives or friends</v>
      </c>
      <c r="W215" s="97" t="str">
        <f t="shared" si="7"/>
        <v>Other</v>
      </c>
      <c r="X215" s="97" t="str">
        <f t="shared" si="7"/>
        <v>Total</v>
      </c>
    </row>
    <row r="216" spans="1:26">
      <c r="A216" s="1" t="s">
        <v>93</v>
      </c>
      <c r="R216" s="177" t="str">
        <f>VLOOKUP(Cover!$C$5,$R$180:$X$213,1,0)</f>
        <v>Aberdeen City</v>
      </c>
      <c r="S216" s="177">
        <f>VLOOKUP(Cover!$C$5,$R$180:$X$213,2,0)</f>
        <v>1.5961691939345573</v>
      </c>
      <c r="T216" s="177">
        <f>VLOOKUP(Cover!$C$5,$R$180:$X$213,3,0)</f>
        <v>2.9529130087789306</v>
      </c>
      <c r="U216" s="177">
        <f>VLOOKUP(Cover!$C$5,$R$180:$X$213,4,0)</f>
        <v>3.5647778664538441</v>
      </c>
      <c r="V216" s="177">
        <f>VLOOKUP(Cover!$C$5,$R$180:$X$213,5,0)</f>
        <v>2.7134876296887471</v>
      </c>
      <c r="W216" s="177">
        <f>VLOOKUP(Cover!$C$5,$R$180:$X$213,6,0)</f>
        <v>0.42564511838254854</v>
      </c>
      <c r="X216" s="177">
        <f>VLOOKUP(Cover!$C$5,$R$180:$X$213,7,0)</f>
        <v>11.252992817238628</v>
      </c>
    </row>
    <row r="217" spans="1:26">
      <c r="A217" s="85"/>
      <c r="S217" s="18">
        <f>S216/$X$216</f>
        <v>0.14184397163120568</v>
      </c>
      <c r="T217" s="18">
        <f>T216/$X$216</f>
        <v>0.26241134751773049</v>
      </c>
      <c r="U217" s="18">
        <f>U216/$X$216</f>
        <v>0.3167848699763593</v>
      </c>
      <c r="V217" s="18">
        <f>V216/$X$216</f>
        <v>0.24113475177304963</v>
      </c>
      <c r="W217" s="18">
        <f>W216/$X$216</f>
        <v>3.7825059101654845E-2</v>
      </c>
    </row>
    <row r="218" spans="1:26">
      <c r="A218" s="85" t="s">
        <v>278</v>
      </c>
    </row>
    <row r="219" spans="1:26">
      <c r="A219" s="105"/>
    </row>
    <row r="220" spans="1:26">
      <c r="A220" s="1"/>
    </row>
    <row r="225" spans="1:38">
      <c r="A225" s="1" t="s">
        <v>277</v>
      </c>
    </row>
    <row r="227" spans="1:38">
      <c r="B227" s="748" t="s">
        <v>119</v>
      </c>
      <c r="C227" s="749"/>
      <c r="D227" s="749"/>
      <c r="E227" s="749"/>
      <c r="F227" s="749"/>
      <c r="G227" s="749"/>
      <c r="H227" s="750"/>
      <c r="I227" s="749" t="s">
        <v>182</v>
      </c>
      <c r="J227" s="749"/>
      <c r="K227" s="749"/>
      <c r="L227" s="749"/>
      <c r="M227" s="749"/>
      <c r="N227" s="749"/>
      <c r="O227" s="752"/>
      <c r="P227" s="18"/>
    </row>
    <row r="228" spans="1:38" ht="63.75">
      <c r="A228" s="116" t="s">
        <v>26</v>
      </c>
      <c r="B228" s="116" t="s">
        <v>198</v>
      </c>
      <c r="C228" s="116" t="s">
        <v>178</v>
      </c>
      <c r="D228" s="116" t="s">
        <v>199</v>
      </c>
      <c r="E228" s="116" t="s">
        <v>179</v>
      </c>
      <c r="F228" s="116" t="s">
        <v>180</v>
      </c>
      <c r="G228" s="116" t="s">
        <v>200</v>
      </c>
      <c r="H228" s="179" t="s">
        <v>110</v>
      </c>
      <c r="I228" s="116" t="s">
        <v>198</v>
      </c>
      <c r="J228" s="116" t="s">
        <v>178</v>
      </c>
      <c r="K228" s="116" t="s">
        <v>199</v>
      </c>
      <c r="L228" s="116" t="s">
        <v>179</v>
      </c>
      <c r="M228" s="116" t="s">
        <v>180</v>
      </c>
      <c r="N228" s="116" t="s">
        <v>200</v>
      </c>
      <c r="O228" s="179" t="s">
        <v>110</v>
      </c>
      <c r="R228" s="176" t="s">
        <v>26</v>
      </c>
      <c r="S228" s="197" t="s">
        <v>178</v>
      </c>
      <c r="T228" s="197" t="s">
        <v>179</v>
      </c>
      <c r="U228" s="197" t="s">
        <v>198</v>
      </c>
      <c r="V228" s="197" t="s">
        <v>199</v>
      </c>
      <c r="W228" s="197" t="s">
        <v>180</v>
      </c>
      <c r="X228" s="197" t="s">
        <v>200</v>
      </c>
      <c r="Y228" s="176" t="s">
        <v>110</v>
      </c>
      <c r="Z228" s="187" t="s">
        <v>194</v>
      </c>
      <c r="AA228" s="168" t="s">
        <v>197</v>
      </c>
      <c r="AB228" s="178"/>
      <c r="AC228" s="90"/>
      <c r="AD228" s="90"/>
      <c r="AE228" s="90"/>
    </row>
    <row r="229" spans="1:38">
      <c r="A229" s="91" t="s">
        <v>31</v>
      </c>
      <c r="B229" s="510">
        <v>15</v>
      </c>
      <c r="C229" s="510">
        <v>6</v>
      </c>
      <c r="D229" s="510">
        <v>14</v>
      </c>
      <c r="E229" s="510">
        <v>4</v>
      </c>
      <c r="F229" s="510">
        <v>0</v>
      </c>
      <c r="G229" s="510">
        <v>21</v>
      </c>
      <c r="H229" s="517">
        <f t="shared" ref="H229:H261" si="8">SUM(B229:G229)</f>
        <v>60</v>
      </c>
      <c r="I229" s="93">
        <f>(B229/'Population Figures'!AI5)*1000</f>
        <v>0.39904229848363931</v>
      </c>
      <c r="J229" s="93">
        <f>(C229/'Population Figures'!AI5)*1000</f>
        <v>0.15961691939345568</v>
      </c>
      <c r="K229" s="93">
        <f>(D229/'Population Figures'!AI5)*1000</f>
        <v>0.37243947858472998</v>
      </c>
      <c r="L229" s="93">
        <f>(E229/'Population Figures'!AI5)*1000</f>
        <v>0.10641127959563713</v>
      </c>
      <c r="M229" s="93">
        <f>(F229/'Population Figures'!AI5)*1000</f>
        <v>0</v>
      </c>
      <c r="N229" s="93">
        <f>(G229/'Population Figures'!AI5)*1000</f>
        <v>0.55865921787709494</v>
      </c>
      <c r="O229" s="93">
        <f>(H229/'Population Figures'!AI5)*1000</f>
        <v>1.5961691939345573</v>
      </c>
      <c r="P229" s="90"/>
      <c r="R229" s="426" t="s">
        <v>52</v>
      </c>
      <c r="S229" s="519">
        <v>0</v>
      </c>
      <c r="T229" s="519">
        <v>0.24931438544003989</v>
      </c>
      <c r="U229" s="519">
        <v>1.9945150835203191</v>
      </c>
      <c r="V229" s="519">
        <v>0.99725754176015957</v>
      </c>
      <c r="W229" s="519">
        <v>0</v>
      </c>
      <c r="X229" s="519">
        <v>0</v>
      </c>
      <c r="Y229" s="520">
        <v>3.2410870107205185</v>
      </c>
      <c r="Z229" t="e">
        <f>IF($R229=Cover!$C$5,0,IF($R229="Scotland",0,NA()))</f>
        <v>#N/A</v>
      </c>
      <c r="AA229">
        <f>IF($R229=Cover!$C$5,NA(),IF($R229="Scotland",NA(),0))</f>
        <v>0</v>
      </c>
      <c r="AB229" s="90"/>
      <c r="AC229" s="90"/>
      <c r="AD229" s="90"/>
      <c r="AE229" s="90"/>
      <c r="AF229" s="90"/>
      <c r="AH229" s="90"/>
      <c r="AL229" s="90"/>
    </row>
    <row r="230" spans="1:38">
      <c r="A230" s="91" t="s">
        <v>32</v>
      </c>
      <c r="B230" s="510">
        <v>15</v>
      </c>
      <c r="C230" s="510">
        <v>9</v>
      </c>
      <c r="D230" s="510">
        <v>28</v>
      </c>
      <c r="E230" s="510">
        <v>0</v>
      </c>
      <c r="F230" s="510">
        <v>0</v>
      </c>
      <c r="G230" s="510">
        <v>0</v>
      </c>
      <c r="H230" s="517">
        <f t="shared" si="8"/>
        <v>52</v>
      </c>
      <c r="I230" s="93">
        <f>(B230/'Population Figures'!AI6)*1000</f>
        <v>0.27398261123694018</v>
      </c>
      <c r="J230" s="93">
        <f>(C230/'Population Figures'!AI6)*1000</f>
        <v>0.16438956674216409</v>
      </c>
      <c r="K230" s="93">
        <f>(D230/'Population Figures'!AI6)*1000</f>
        <v>0.51143420764228831</v>
      </c>
      <c r="L230" s="93">
        <f>(E230/'Population Figures'!AI6)*1000</f>
        <v>0</v>
      </c>
      <c r="M230" s="93">
        <f>(F230/'Population Figures'!AI6)*1000</f>
        <v>0</v>
      </c>
      <c r="N230" s="93">
        <f>(G230/'Population Figures'!AI6)*1000</f>
        <v>0</v>
      </c>
      <c r="O230" s="93">
        <f>(H230/'Population Figures'!AI6)*1000</f>
        <v>0.94980638562139252</v>
      </c>
      <c r="P230" s="90"/>
      <c r="R230" s="426" t="s">
        <v>60</v>
      </c>
      <c r="S230" s="519">
        <v>0</v>
      </c>
      <c r="T230" s="519">
        <v>5.6296796712267075E-2</v>
      </c>
      <c r="U230" s="519">
        <v>1.1259359342453414</v>
      </c>
      <c r="V230" s="519">
        <v>1.0133423408208073</v>
      </c>
      <c r="W230" s="519">
        <v>0</v>
      </c>
      <c r="X230" s="519">
        <v>0.16889039013680121</v>
      </c>
      <c r="Y230" s="520">
        <v>2.3644654619152172</v>
      </c>
      <c r="Z230" t="e">
        <f>IF($R230=Cover!$C$5,0,IF($R230="Scotland",0,NA()))</f>
        <v>#N/A</v>
      </c>
      <c r="AA230">
        <f>IF($R230=Cover!$C$5,NA(),IF($R230="Scotland",NA(),0))</f>
        <v>0</v>
      </c>
      <c r="AB230" s="90"/>
      <c r="AC230" s="90"/>
      <c r="AD230" s="90"/>
      <c r="AE230" s="90"/>
      <c r="AF230" s="90"/>
      <c r="AH230" s="90"/>
      <c r="AL230" s="90"/>
    </row>
    <row r="231" spans="1:38">
      <c r="A231" s="91" t="s">
        <v>33</v>
      </c>
      <c r="B231" s="510">
        <v>6</v>
      </c>
      <c r="C231" s="510">
        <v>0</v>
      </c>
      <c r="D231" s="510">
        <v>4</v>
      </c>
      <c r="E231" s="510">
        <v>2</v>
      </c>
      <c r="F231" s="510">
        <v>1</v>
      </c>
      <c r="G231" s="510">
        <v>1</v>
      </c>
      <c r="H231" s="517">
        <f t="shared" si="8"/>
        <v>14</v>
      </c>
      <c r="I231" s="93">
        <f>(B231/'Population Figures'!AI7)*1000</f>
        <v>0.26653636000177694</v>
      </c>
      <c r="J231" s="93">
        <f>(C231/'Population Figures'!AI7)*1000</f>
        <v>0</v>
      </c>
      <c r="K231" s="93">
        <f>(D231/'Population Figures'!AI7)*1000</f>
        <v>0.17769090666785128</v>
      </c>
      <c r="L231" s="93">
        <f>(E231/'Population Figures'!AI7)*1000</f>
        <v>8.8845453333925642E-2</v>
      </c>
      <c r="M231" s="93">
        <f>(F231/'Population Figures'!AI7)*1000</f>
        <v>4.4422726666962821E-2</v>
      </c>
      <c r="N231" s="93">
        <f>(G231/'Population Figures'!AI7)*1000</f>
        <v>4.4422726666962821E-2</v>
      </c>
      <c r="O231" s="93">
        <f>(H231/'Population Figures'!AI7)*1000</f>
        <v>0.62191817333747945</v>
      </c>
      <c r="P231" s="90"/>
      <c r="R231" s="426" t="s">
        <v>45</v>
      </c>
      <c r="S231" s="519">
        <v>0</v>
      </c>
      <c r="T231" s="519">
        <v>0.13730479834501949</v>
      </c>
      <c r="U231" s="519">
        <v>0.98859454808414038</v>
      </c>
      <c r="V231" s="519">
        <v>0.31122420958204416</v>
      </c>
      <c r="W231" s="519">
        <v>0</v>
      </c>
      <c r="X231" s="519">
        <v>0.75975321750910785</v>
      </c>
      <c r="Y231" s="520">
        <v>2.1968767735203119</v>
      </c>
      <c r="Z231" t="e">
        <f>IF($R231=Cover!$C$5,0,IF($R231="Scotland",0,NA()))</f>
        <v>#N/A</v>
      </c>
      <c r="AA231">
        <f>IF($R231=Cover!$C$5,NA(),IF($R231="Scotland",NA(),0))</f>
        <v>0</v>
      </c>
      <c r="AB231" s="90"/>
      <c r="AC231" s="90"/>
      <c r="AD231" s="90"/>
      <c r="AE231" s="90"/>
      <c r="AF231" s="90"/>
      <c r="AH231" s="90"/>
      <c r="AL231" s="90"/>
    </row>
    <row r="232" spans="1:38">
      <c r="A232" s="91" t="s">
        <v>34</v>
      </c>
      <c r="B232" s="510">
        <v>12</v>
      </c>
      <c r="C232" s="510">
        <v>0</v>
      </c>
      <c r="D232" s="510">
        <v>7</v>
      </c>
      <c r="E232" s="510">
        <v>0</v>
      </c>
      <c r="F232" s="510">
        <v>0</v>
      </c>
      <c r="G232" s="510">
        <v>3</v>
      </c>
      <c r="H232" s="517">
        <f t="shared" si="8"/>
        <v>22</v>
      </c>
      <c r="I232" s="93">
        <f>(B232/'Population Figures'!AI8)*1000</f>
        <v>0.76800000000000002</v>
      </c>
      <c r="J232" s="93">
        <f>(C232/'Population Figures'!AI8)*1000</f>
        <v>0</v>
      </c>
      <c r="K232" s="93">
        <f>(D232/'Population Figures'!AI8)*1000</f>
        <v>0.44800000000000001</v>
      </c>
      <c r="L232" s="93">
        <f>(E232/'Population Figures'!AI8)*1000</f>
        <v>0</v>
      </c>
      <c r="M232" s="93">
        <f>(F232/'Population Figures'!AI8)*1000</f>
        <v>0</v>
      </c>
      <c r="N232" s="93">
        <f>(G232/'Population Figures'!AI8)*1000</f>
        <v>0.192</v>
      </c>
      <c r="O232" s="93">
        <f>(H232/'Population Figures'!AI8)*1000</f>
        <v>1.4079999999999999</v>
      </c>
      <c r="P232" s="90"/>
      <c r="R232" s="426" t="s">
        <v>42</v>
      </c>
      <c r="S232" s="519">
        <v>0.79443892750744782</v>
      </c>
      <c r="T232" s="519">
        <v>0</v>
      </c>
      <c r="U232" s="519">
        <v>0.39721946375372391</v>
      </c>
      <c r="V232" s="519">
        <v>0.79443892750744782</v>
      </c>
      <c r="W232" s="519">
        <v>0</v>
      </c>
      <c r="X232" s="519">
        <v>0</v>
      </c>
      <c r="Y232" s="520">
        <v>1.9860973187686195</v>
      </c>
      <c r="Z232" t="e">
        <f>IF($R232=Cover!$C$5,0,IF($R232="Scotland",0,NA()))</f>
        <v>#N/A</v>
      </c>
      <c r="AA232">
        <f>IF($R232=Cover!$C$5,NA(),IF($R232="Scotland",NA(),0))</f>
        <v>0</v>
      </c>
      <c r="AB232" s="90"/>
      <c r="AC232" s="90"/>
      <c r="AD232" s="90"/>
      <c r="AE232" s="90"/>
      <c r="AF232" s="90"/>
      <c r="AH232" s="90"/>
      <c r="AL232" s="90"/>
    </row>
    <row r="233" spans="1:38">
      <c r="A233" s="91" t="s">
        <v>35</v>
      </c>
      <c r="B233" s="510">
        <v>3</v>
      </c>
      <c r="C233" s="510">
        <v>0</v>
      </c>
      <c r="D233" s="510">
        <v>11</v>
      </c>
      <c r="E233" s="510">
        <v>1</v>
      </c>
      <c r="F233" s="510">
        <v>0</v>
      </c>
      <c r="G233" s="510">
        <v>4</v>
      </c>
      <c r="H233" s="517">
        <f t="shared" si="8"/>
        <v>19</v>
      </c>
      <c r="I233" s="93">
        <f>(B233/'Population Figures'!AI9)*1000</f>
        <v>0.29114906832298137</v>
      </c>
      <c r="J233" s="93">
        <f>(C233/'Population Figures'!AI9)*1000</f>
        <v>0</v>
      </c>
      <c r="K233" s="93">
        <f>(D233/'Population Figures'!AI9)*1000</f>
        <v>1.0675465838509317</v>
      </c>
      <c r="L233" s="93">
        <f>(E233/'Population Figures'!AI9)*1000</f>
        <v>9.7049689440993778E-2</v>
      </c>
      <c r="M233" s="93">
        <f>(F233/'Population Figures'!AI9)*1000</f>
        <v>0</v>
      </c>
      <c r="N233" s="93">
        <f>(G233/'Population Figures'!AI9)*1000</f>
        <v>0.38819875776397511</v>
      </c>
      <c r="O233" s="93">
        <f>(H233/'Population Figures'!AI9)*1000</f>
        <v>1.843944099378882</v>
      </c>
      <c r="P233" s="90"/>
      <c r="R233" s="426" t="s">
        <v>50</v>
      </c>
      <c r="S233" s="519">
        <v>0</v>
      </c>
      <c r="T233" s="519">
        <v>3.7390166386240417E-2</v>
      </c>
      <c r="U233" s="519">
        <v>1.1217049915872126</v>
      </c>
      <c r="V233" s="519">
        <v>0.71041316133856791</v>
      </c>
      <c r="W233" s="519">
        <v>0</v>
      </c>
      <c r="X233" s="519">
        <v>0.11217049915872125</v>
      </c>
      <c r="Y233" s="520">
        <v>1.9816788184707423</v>
      </c>
      <c r="Z233" t="e">
        <f>IF($R233=Cover!$C$5,0,IF($R233="Scotland",0,NA()))</f>
        <v>#N/A</v>
      </c>
      <c r="AA233">
        <f>IF($R233=Cover!$C$5,NA(),IF($R233="Scotland",NA(),0))</f>
        <v>0</v>
      </c>
      <c r="AB233" s="90"/>
      <c r="AC233" s="90"/>
      <c r="AD233" s="90"/>
      <c r="AE233" s="90"/>
      <c r="AF233" s="90"/>
      <c r="AH233" s="90"/>
      <c r="AL233" s="90"/>
    </row>
    <row r="234" spans="1:38">
      <c r="A234" s="91" t="s">
        <v>36</v>
      </c>
      <c r="B234" s="510">
        <v>3</v>
      </c>
      <c r="C234" s="510">
        <v>0</v>
      </c>
      <c r="D234" s="510">
        <v>13</v>
      </c>
      <c r="E234" s="510">
        <v>1</v>
      </c>
      <c r="F234" s="510">
        <v>0</v>
      </c>
      <c r="G234" s="510">
        <v>14</v>
      </c>
      <c r="H234" s="517">
        <f t="shared" si="8"/>
        <v>31</v>
      </c>
      <c r="I234" s="93">
        <f>(B234/'Population Figures'!AI10)*1000</f>
        <v>0.10974940552405341</v>
      </c>
      <c r="J234" s="93">
        <f>(C234/'Population Figures'!AI10)*1000</f>
        <v>0</v>
      </c>
      <c r="K234" s="93">
        <f>(D234/'Population Figures'!AI10)*1000</f>
        <v>0.47558075727089816</v>
      </c>
      <c r="L234" s="93">
        <f>(E234/'Population Figures'!AI10)*1000</f>
        <v>3.6583135174684471E-2</v>
      </c>
      <c r="M234" s="93">
        <f>(F234/'Population Figures'!AI10)*1000</f>
        <v>0</v>
      </c>
      <c r="N234" s="93">
        <f>(G234/'Population Figures'!AI10)*1000</f>
        <v>0.51216389244558258</v>
      </c>
      <c r="O234" s="93">
        <f>(H234/'Population Figures'!AI10)*1000</f>
        <v>1.1340771904152185</v>
      </c>
      <c r="P234" s="90"/>
      <c r="R234" s="426" t="s">
        <v>44</v>
      </c>
      <c r="S234" s="519">
        <v>0.84081103805703739</v>
      </c>
      <c r="T234" s="519">
        <v>6.8918937545658795E-2</v>
      </c>
      <c r="U234" s="519">
        <v>0.2067568126369764</v>
      </c>
      <c r="V234" s="519">
        <v>0.30324332520089869</v>
      </c>
      <c r="W234" s="519">
        <v>0.2067568126369764</v>
      </c>
      <c r="X234" s="519">
        <v>0.24810817516437164</v>
      </c>
      <c r="Y234" s="520">
        <v>1.8745951012419193</v>
      </c>
      <c r="Z234" t="e">
        <f>IF($R234=Cover!$C$5,0,IF($R234="Scotland",0,NA()))</f>
        <v>#N/A</v>
      </c>
      <c r="AA234">
        <f>IF($R234=Cover!$C$5,NA(),IF($R234="Scotland",NA(),0))</f>
        <v>0</v>
      </c>
      <c r="AB234" s="90"/>
      <c r="AC234" s="90"/>
      <c r="AD234" s="90"/>
      <c r="AE234" s="90"/>
      <c r="AF234" s="90"/>
      <c r="AH234" s="90"/>
      <c r="AL234" s="90"/>
    </row>
    <row r="235" spans="1:38">
      <c r="A235" s="91" t="s">
        <v>37</v>
      </c>
      <c r="B235" s="510">
        <v>23</v>
      </c>
      <c r="C235" s="510">
        <v>3</v>
      </c>
      <c r="D235" s="510">
        <v>13</v>
      </c>
      <c r="E235" s="510">
        <v>4</v>
      </c>
      <c r="F235" s="510">
        <v>0</v>
      </c>
      <c r="G235" s="510">
        <v>4</v>
      </c>
      <c r="H235" s="517">
        <f t="shared" si="8"/>
        <v>47</v>
      </c>
      <c r="I235" s="93">
        <f>(B235/'Population Figures'!AI11)*1000</f>
        <v>0.84717669159085052</v>
      </c>
      <c r="J235" s="93">
        <f>(C235/'Population Figures'!AI11)*1000</f>
        <v>0.11050130759880659</v>
      </c>
      <c r="K235" s="93">
        <f>(D235/'Population Figures'!AI11)*1000</f>
        <v>0.47883899959482856</v>
      </c>
      <c r="L235" s="93">
        <f>(E235/'Population Figures'!AI11)*1000</f>
        <v>0.14733507679840879</v>
      </c>
      <c r="M235" s="93">
        <f>(F235/'Population Figures'!AI11)*1000</f>
        <v>0</v>
      </c>
      <c r="N235" s="93">
        <f>(G235/'Population Figures'!AI11)*1000</f>
        <v>0.14733507679840879</v>
      </c>
      <c r="O235" s="93">
        <f>(H235/'Population Figures'!AI11)*1000</f>
        <v>1.7311871523813032</v>
      </c>
      <c r="P235" s="90"/>
      <c r="R235" s="426" t="s">
        <v>43</v>
      </c>
      <c r="S235" s="519">
        <v>0</v>
      </c>
      <c r="T235" s="519">
        <v>0.12527796047480347</v>
      </c>
      <c r="U235" s="519">
        <v>0.28187541106830782</v>
      </c>
      <c r="V235" s="519">
        <v>0.50111184189921387</v>
      </c>
      <c r="W235" s="519">
        <v>3.1319490118700867E-2</v>
      </c>
      <c r="X235" s="519">
        <v>0.90826521344232514</v>
      </c>
      <c r="Y235" s="520">
        <v>1.8478499170033513</v>
      </c>
      <c r="Z235" t="e">
        <f>IF($R235=Cover!$C$5,0,IF($R235="Scotland",0,NA()))</f>
        <v>#N/A</v>
      </c>
      <c r="AA235">
        <f>IF($R235=Cover!$C$5,NA(),IF($R235="Scotland",NA(),0))</f>
        <v>0</v>
      </c>
      <c r="AB235" s="90"/>
      <c r="AC235" s="90"/>
      <c r="AD235" s="90"/>
      <c r="AE235" s="90"/>
      <c r="AF235" s="90"/>
      <c r="AH235" s="90"/>
      <c r="AL235" s="90"/>
    </row>
    <row r="236" spans="1:38">
      <c r="A236" s="91" t="s">
        <v>38</v>
      </c>
      <c r="B236" s="510">
        <v>14</v>
      </c>
      <c r="C236" s="510">
        <v>0</v>
      </c>
      <c r="D236" s="510">
        <v>6</v>
      </c>
      <c r="E236" s="510">
        <v>1</v>
      </c>
      <c r="F236" s="510">
        <v>0</v>
      </c>
      <c r="G236" s="510">
        <v>9</v>
      </c>
      <c r="H236" s="517">
        <f t="shared" si="8"/>
        <v>30</v>
      </c>
      <c r="I236" s="93">
        <f>(B236/'Population Figures'!AI12)*1000</f>
        <v>0.58115400581153998</v>
      </c>
      <c r="J236" s="93">
        <f>(C236/'Population Figures'!AI12)*1000</f>
        <v>0</v>
      </c>
      <c r="K236" s="93">
        <f>(D236/'Population Figures'!AI12)*1000</f>
        <v>0.24906600249066002</v>
      </c>
      <c r="L236" s="93">
        <f>(E236/'Population Figures'!AI12)*1000</f>
        <v>4.1511000415110008E-2</v>
      </c>
      <c r="M236" s="93">
        <f>(F236/'Population Figures'!AI12)*1000</f>
        <v>0</v>
      </c>
      <c r="N236" s="93">
        <f>(G236/'Population Figures'!AI12)*1000</f>
        <v>0.37359900373599003</v>
      </c>
      <c r="O236" s="93">
        <f>(H236/'Population Figures'!AI12)*1000</f>
        <v>1.2453300124533002</v>
      </c>
      <c r="P236" s="90"/>
      <c r="R236" s="426" t="s">
        <v>35</v>
      </c>
      <c r="S236" s="519">
        <v>0</v>
      </c>
      <c r="T236" s="519">
        <v>9.7049689440993778E-2</v>
      </c>
      <c r="U236" s="519">
        <v>0.29114906832298137</v>
      </c>
      <c r="V236" s="519">
        <v>1.0675465838509317</v>
      </c>
      <c r="W236" s="519">
        <v>0</v>
      </c>
      <c r="X236" s="519">
        <v>0.38819875776397511</v>
      </c>
      <c r="Y236" s="520">
        <v>1.843944099378882</v>
      </c>
      <c r="Z236" t="e">
        <f>IF($R236=Cover!$C$5,0,IF($R236="Scotland",0,NA()))</f>
        <v>#N/A</v>
      </c>
      <c r="AA236">
        <f>IF($R236=Cover!$C$5,NA(),IF($R236="Scotland",NA(),0))</f>
        <v>0</v>
      </c>
      <c r="AB236" s="90"/>
      <c r="AC236" s="90"/>
      <c r="AD236" s="90"/>
      <c r="AE236" s="90"/>
      <c r="AF236" s="90"/>
      <c r="AH236" s="90"/>
      <c r="AL236" s="90"/>
    </row>
    <row r="237" spans="1:38">
      <c r="A237" s="91" t="s">
        <v>39</v>
      </c>
      <c r="B237" s="510">
        <v>10</v>
      </c>
      <c r="C237" s="510">
        <v>6</v>
      </c>
      <c r="D237" s="510">
        <v>3</v>
      </c>
      <c r="E237" s="510">
        <v>1</v>
      </c>
      <c r="F237" s="510">
        <v>0</v>
      </c>
      <c r="G237" s="510">
        <v>1</v>
      </c>
      <c r="H237" s="517">
        <f t="shared" si="8"/>
        <v>21</v>
      </c>
      <c r="I237" s="93">
        <f>(B237/'Population Figures'!AI13)*1000</f>
        <v>0.47512709649831331</v>
      </c>
      <c r="J237" s="93">
        <f>(C237/'Population Figures'!AI13)*1000</f>
        <v>0.28507625789898794</v>
      </c>
      <c r="K237" s="93">
        <f>(D237/'Population Figures'!AI13)*1000</f>
        <v>0.14253812894949397</v>
      </c>
      <c r="L237" s="93">
        <f>(E237/'Population Figures'!AI13)*1000</f>
        <v>4.7512709649831335E-2</v>
      </c>
      <c r="M237" s="93">
        <f>(F237/'Population Figures'!AI13)*1000</f>
        <v>0</v>
      </c>
      <c r="N237" s="93">
        <f>(G237/'Population Figures'!AI13)*1000</f>
        <v>4.7512709649831335E-2</v>
      </c>
      <c r="O237" s="93">
        <f>(H237/'Population Figures'!AI13)*1000</f>
        <v>0.99776690264645795</v>
      </c>
      <c r="P237" s="90"/>
      <c r="R237" s="426" t="s">
        <v>59</v>
      </c>
      <c r="S237" s="519">
        <v>5.544774050457444E-2</v>
      </c>
      <c r="T237" s="519">
        <v>5.544774050457444E-2</v>
      </c>
      <c r="U237" s="519">
        <v>0.22179096201829776</v>
      </c>
      <c r="V237" s="519">
        <v>1.1089548100914888</v>
      </c>
      <c r="W237" s="519">
        <v>5.544774050457444E-2</v>
      </c>
      <c r="X237" s="519">
        <v>0.33268644302744665</v>
      </c>
      <c r="Y237" s="520">
        <v>1.8297754366509567</v>
      </c>
      <c r="Z237" t="e">
        <f>IF($R237=Cover!$C$5,0,IF($R237="Scotland",0,NA()))</f>
        <v>#N/A</v>
      </c>
      <c r="AA237">
        <f>IF($R237=Cover!$C$5,NA(),IF($R237="Scotland",NA(),0))</f>
        <v>0</v>
      </c>
      <c r="AB237" s="90"/>
      <c r="AC237" s="90"/>
      <c r="AD237" s="90"/>
      <c r="AE237" s="90"/>
      <c r="AF237" s="90"/>
      <c r="AH237" s="90"/>
      <c r="AL237" s="90"/>
    </row>
    <row r="238" spans="1:38">
      <c r="A238" s="91" t="s">
        <v>40</v>
      </c>
      <c r="B238" s="510">
        <v>7</v>
      </c>
      <c r="C238" s="510">
        <v>0</v>
      </c>
      <c r="D238" s="510">
        <v>9</v>
      </c>
      <c r="E238" s="510">
        <v>0</v>
      </c>
      <c r="F238" s="510">
        <v>0</v>
      </c>
      <c r="G238" s="510">
        <v>3</v>
      </c>
      <c r="H238" s="517">
        <f t="shared" si="8"/>
        <v>19</v>
      </c>
      <c r="I238" s="93">
        <f>(B238/'Population Figures'!AI14)*1000</f>
        <v>0.32896282720052639</v>
      </c>
      <c r="J238" s="93">
        <f>(C238/'Population Figures'!AI14)*1000</f>
        <v>0</v>
      </c>
      <c r="K238" s="93">
        <f>(D238/'Population Figures'!AI14)*1000</f>
        <v>0.42295220640067671</v>
      </c>
      <c r="L238" s="93">
        <f>(E238/'Population Figures'!AI14)*1000</f>
        <v>0</v>
      </c>
      <c r="M238" s="93">
        <f>(F238/'Population Figures'!AI14)*1000</f>
        <v>0</v>
      </c>
      <c r="N238" s="93">
        <f>(G238/'Population Figures'!AI14)*1000</f>
        <v>0.1409840688002256</v>
      </c>
      <c r="O238" s="93">
        <f>(H238/'Population Figures'!AI14)*1000</f>
        <v>0.89289910240142867</v>
      </c>
      <c r="P238" s="90"/>
      <c r="R238" s="426" t="s">
        <v>47</v>
      </c>
      <c r="S238" s="519">
        <v>6.6746762782005073E-2</v>
      </c>
      <c r="T238" s="519">
        <v>0.26698705112802029</v>
      </c>
      <c r="U238" s="519">
        <v>0.86770791616606602</v>
      </c>
      <c r="V238" s="519">
        <v>0.2002402883460152</v>
      </c>
      <c r="W238" s="519">
        <v>0</v>
      </c>
      <c r="X238" s="519">
        <v>0.33373381391002538</v>
      </c>
      <c r="Y238" s="520">
        <v>1.735415832332132</v>
      </c>
      <c r="Z238" t="e">
        <f>IF($R238=Cover!$C$5,0,IF($R238="Scotland",0,NA()))</f>
        <v>#N/A</v>
      </c>
      <c r="AA238">
        <f>IF($R238=Cover!$C$5,NA(),IF($R238="Scotland",NA(),0))</f>
        <v>0</v>
      </c>
      <c r="AB238" s="90"/>
      <c r="AC238" s="90"/>
      <c r="AD238" s="90"/>
      <c r="AE238" s="90"/>
      <c r="AF238" s="90"/>
      <c r="AH238" s="90"/>
      <c r="AL238" s="90"/>
    </row>
    <row r="239" spans="1:38">
      <c r="A239" s="91" t="s">
        <v>41</v>
      </c>
      <c r="B239" s="510">
        <v>2</v>
      </c>
      <c r="C239" s="510">
        <v>0</v>
      </c>
      <c r="D239" s="510">
        <v>5</v>
      </c>
      <c r="E239" s="510">
        <v>0</v>
      </c>
      <c r="F239" s="510">
        <v>0</v>
      </c>
      <c r="G239" s="510">
        <v>0</v>
      </c>
      <c r="H239" s="517">
        <f t="shared" si="8"/>
        <v>7</v>
      </c>
      <c r="I239" s="93">
        <f>(B239/'Population Figures'!AI15)*1000</f>
        <v>9.6464573385424204E-2</v>
      </c>
      <c r="J239" s="93">
        <f>(C239/'Population Figures'!AI15)*1000</f>
        <v>0</v>
      </c>
      <c r="K239" s="93">
        <f>(D239/'Population Figures'!AI15)*1000</f>
        <v>0.2411614334635605</v>
      </c>
      <c r="L239" s="93">
        <f>(E239/'Population Figures'!AI15)*1000</f>
        <v>0</v>
      </c>
      <c r="M239" s="93">
        <f>(F239/'Population Figures'!AI15)*1000</f>
        <v>0</v>
      </c>
      <c r="N239" s="93">
        <f>(G239/'Population Figures'!AI15)*1000</f>
        <v>0</v>
      </c>
      <c r="O239" s="93">
        <f>(H239/'Population Figures'!AI15)*1000</f>
        <v>0.33762600684898469</v>
      </c>
      <c r="P239" s="90"/>
      <c r="R239" s="426" t="s">
        <v>37</v>
      </c>
      <c r="S239" s="519">
        <v>0.11050130759880659</v>
      </c>
      <c r="T239" s="519">
        <v>0.14733507679840879</v>
      </c>
      <c r="U239" s="519">
        <v>0.84717669159085052</v>
      </c>
      <c r="V239" s="519">
        <v>0.47883899959482856</v>
      </c>
      <c r="W239" s="519">
        <v>0</v>
      </c>
      <c r="X239" s="519">
        <v>0.14733507679840879</v>
      </c>
      <c r="Y239" s="520">
        <v>1.7311871523813032</v>
      </c>
      <c r="Z239" t="e">
        <f>IF($R239=Cover!$C$5,0,IF($R239="Scotland",0,NA()))</f>
        <v>#N/A</v>
      </c>
      <c r="AA239">
        <f>IF($R239=Cover!$C$5,NA(),IF($R239="Scotland",NA(),0))</f>
        <v>0</v>
      </c>
      <c r="AB239" s="90"/>
      <c r="AC239" s="90"/>
      <c r="AD239" s="90"/>
      <c r="AE239" s="90"/>
      <c r="AF239" s="90"/>
      <c r="AH239" s="90"/>
      <c r="AL239" s="90"/>
    </row>
    <row r="240" spans="1:38">
      <c r="A240" s="91" t="s">
        <v>140</v>
      </c>
      <c r="B240" s="510">
        <v>52</v>
      </c>
      <c r="C240" s="510">
        <v>5</v>
      </c>
      <c r="D240" s="510">
        <v>19</v>
      </c>
      <c r="E240" s="510">
        <v>10</v>
      </c>
      <c r="F240" s="510">
        <v>0</v>
      </c>
      <c r="G240" s="510">
        <v>8</v>
      </c>
      <c r="H240" s="517">
        <f t="shared" si="8"/>
        <v>94</v>
      </c>
      <c r="I240" s="93">
        <f>(B240/'Population Figures'!AI16)*1000</f>
        <v>0.61483890038427436</v>
      </c>
      <c r="J240" s="93">
        <f>(C240/'Population Figures'!AI16)*1000</f>
        <v>5.9119125036949452E-2</v>
      </c>
      <c r="K240" s="93">
        <f>(D240/'Population Figures'!AI16)*1000</f>
        <v>0.22465267514040793</v>
      </c>
      <c r="L240" s="93">
        <f>(E240/'Population Figures'!AI16)*1000</f>
        <v>0.1182382500738989</v>
      </c>
      <c r="M240" s="93">
        <f>(F240/'Population Figures'!AI16)*1000</f>
        <v>0</v>
      </c>
      <c r="N240" s="93">
        <f>(G240/'Population Figures'!AI16)*1000</f>
        <v>9.4590600059119123E-2</v>
      </c>
      <c r="O240" s="93">
        <f>(H240/'Population Figures'!AI16)*1000</f>
        <v>1.1114395506946497</v>
      </c>
      <c r="P240" s="90"/>
      <c r="R240" s="426" t="s">
        <v>46</v>
      </c>
      <c r="S240" s="519">
        <v>0</v>
      </c>
      <c r="T240" s="519">
        <v>8.7943012927622896E-2</v>
      </c>
      <c r="U240" s="519">
        <v>0.48368657110192592</v>
      </c>
      <c r="V240" s="519">
        <v>0.28581479201477439</v>
      </c>
      <c r="W240" s="519">
        <v>0</v>
      </c>
      <c r="X240" s="519">
        <v>0.83545862281241756</v>
      </c>
      <c r="Y240" s="520">
        <v>1.6929029988567408</v>
      </c>
      <c r="Z240" t="e">
        <f>IF($R240=Cover!$C$5,0,IF($R240="Scotland",0,NA()))</f>
        <v>#N/A</v>
      </c>
      <c r="AA240">
        <f>IF($R240=Cover!$C$5,NA(),IF($R240="Scotland",NA(),0))</f>
        <v>0</v>
      </c>
      <c r="AB240" s="90"/>
      <c r="AC240" s="90"/>
      <c r="AD240" s="90"/>
      <c r="AE240" s="90"/>
      <c r="AF240" s="90"/>
      <c r="AH240" s="90"/>
      <c r="AL240" s="90"/>
    </row>
    <row r="241" spans="1:38">
      <c r="A241" s="91" t="s">
        <v>42</v>
      </c>
      <c r="B241" s="510">
        <v>2</v>
      </c>
      <c r="C241" s="510">
        <v>4</v>
      </c>
      <c r="D241" s="510">
        <v>4</v>
      </c>
      <c r="E241" s="510">
        <v>0</v>
      </c>
      <c r="F241" s="510">
        <v>0</v>
      </c>
      <c r="G241" s="510">
        <v>0</v>
      </c>
      <c r="H241" s="517">
        <f t="shared" si="8"/>
        <v>10</v>
      </c>
      <c r="I241" s="93">
        <f>(B241/'Population Figures'!AI17)*1000</f>
        <v>0.39721946375372391</v>
      </c>
      <c r="J241" s="93">
        <f>(C241/'Population Figures'!AI17)*1000</f>
        <v>0.79443892750744782</v>
      </c>
      <c r="K241" s="93">
        <f>(D241/'Population Figures'!AI17)*1000</f>
        <v>0.79443892750744782</v>
      </c>
      <c r="L241" s="93">
        <f>(E241/'Population Figures'!AI17)*1000</f>
        <v>0</v>
      </c>
      <c r="M241" s="93">
        <f>(F241/'Population Figures'!AI17)*1000</f>
        <v>0</v>
      </c>
      <c r="N241" s="93">
        <f>(G241/'Population Figures'!AI17)*1000</f>
        <v>0</v>
      </c>
      <c r="O241" s="93">
        <f>(H241/'Population Figures'!AI17)*1000</f>
        <v>1.9860973187686195</v>
      </c>
      <c r="P241" s="90"/>
      <c r="R241" s="426" t="s">
        <v>48</v>
      </c>
      <c r="S241" s="519">
        <v>0</v>
      </c>
      <c r="T241" s="519">
        <v>0.16289297931259161</v>
      </c>
      <c r="U241" s="519">
        <v>0.38008361839604715</v>
      </c>
      <c r="V241" s="519">
        <v>0.7601672367920943</v>
      </c>
      <c r="W241" s="519">
        <v>0</v>
      </c>
      <c r="X241" s="519">
        <v>0.32578595862518323</v>
      </c>
      <c r="Y241" s="520">
        <v>1.6289297931259161</v>
      </c>
      <c r="Z241" t="e">
        <f>IF($R241=Cover!$C$5,0,IF($R241="Scotland",0,NA()))</f>
        <v>#N/A</v>
      </c>
      <c r="AA241">
        <f>IF($R241=Cover!$C$5,NA(),IF($R241="Scotland",NA(),0))</f>
        <v>0</v>
      </c>
      <c r="AB241" s="90"/>
      <c r="AC241" s="90"/>
      <c r="AD241" s="90"/>
      <c r="AE241" s="90"/>
      <c r="AF241" s="90"/>
      <c r="AH241" s="90"/>
      <c r="AL241" s="90"/>
    </row>
    <row r="242" spans="1:38">
      <c r="A242" s="91" t="s">
        <v>43</v>
      </c>
      <c r="B242" s="510">
        <v>9</v>
      </c>
      <c r="C242" s="510">
        <v>0</v>
      </c>
      <c r="D242" s="510">
        <v>16</v>
      </c>
      <c r="E242" s="510">
        <v>4</v>
      </c>
      <c r="F242" s="510">
        <v>1</v>
      </c>
      <c r="G242" s="510">
        <v>29</v>
      </c>
      <c r="H242" s="517">
        <f t="shared" si="8"/>
        <v>59</v>
      </c>
      <c r="I242" s="93">
        <f>(B242/'Population Figures'!AI18)*1000</f>
        <v>0.28187541106830782</v>
      </c>
      <c r="J242" s="93">
        <f>(C242/'Population Figures'!AI18)*1000</f>
        <v>0</v>
      </c>
      <c r="K242" s="93">
        <f>(D242/'Population Figures'!AI18)*1000</f>
        <v>0.50111184189921387</v>
      </c>
      <c r="L242" s="93">
        <f>(E242/'Population Figures'!AI18)*1000</f>
        <v>0.12527796047480347</v>
      </c>
      <c r="M242" s="93">
        <f>(F242/'Population Figures'!AI18)*1000</f>
        <v>3.1319490118700867E-2</v>
      </c>
      <c r="N242" s="93">
        <f>(G242/'Population Figures'!AI18)*1000</f>
        <v>0.90826521344232514</v>
      </c>
      <c r="O242" s="93">
        <f>(H242/'Population Figures'!AI18)*1000</f>
        <v>1.8478499170033513</v>
      </c>
      <c r="P242" s="90"/>
      <c r="R242" s="426" t="s">
        <v>31</v>
      </c>
      <c r="S242" s="519">
        <v>0.15961691939345568</v>
      </c>
      <c r="T242" s="519">
        <v>0.10641127959563713</v>
      </c>
      <c r="U242" s="519">
        <v>0.39904229848363931</v>
      </c>
      <c r="V242" s="519">
        <v>0.37243947858472998</v>
      </c>
      <c r="W242" s="519">
        <v>0</v>
      </c>
      <c r="X242" s="519">
        <v>0.55865921787709494</v>
      </c>
      <c r="Y242" s="520">
        <v>1.5961691939345573</v>
      </c>
      <c r="Z242">
        <f>IF($R242=Cover!$C$5,0,IF($R242="Scotland",0,NA()))</f>
        <v>0</v>
      </c>
      <c r="AA242" t="e">
        <f>IF($R242=Cover!$C$5,NA(),IF($R242="Scotland",NA(),0))</f>
        <v>#N/A</v>
      </c>
      <c r="AB242" s="90"/>
      <c r="AC242" s="90"/>
      <c r="AD242" s="90"/>
      <c r="AE242" s="90"/>
      <c r="AF242" s="90"/>
      <c r="AH242" s="90"/>
      <c r="AL242" s="90"/>
    </row>
    <row r="243" spans="1:38">
      <c r="A243" s="91" t="s">
        <v>44</v>
      </c>
      <c r="B243" s="510">
        <v>15</v>
      </c>
      <c r="C243" s="510">
        <v>61</v>
      </c>
      <c r="D243" s="510">
        <v>22</v>
      </c>
      <c r="E243" s="510">
        <v>5</v>
      </c>
      <c r="F243" s="510">
        <v>15</v>
      </c>
      <c r="G243" s="510">
        <v>18</v>
      </c>
      <c r="H243" s="517">
        <f t="shared" si="8"/>
        <v>136</v>
      </c>
      <c r="I243" s="93">
        <f>(B243/'Population Figures'!AI19)*1000</f>
        <v>0.2067568126369764</v>
      </c>
      <c r="J243" s="93">
        <f>(C243/'Population Figures'!AI19)*1000</f>
        <v>0.84081103805703739</v>
      </c>
      <c r="K243" s="93">
        <f>(D243/'Population Figures'!AI19)*1000</f>
        <v>0.30324332520089869</v>
      </c>
      <c r="L243" s="93">
        <f>(E243/'Population Figures'!AI19)*1000</f>
        <v>6.8918937545658795E-2</v>
      </c>
      <c r="M243" s="93">
        <f>(F243/'Population Figures'!AI19)*1000</f>
        <v>0.2067568126369764</v>
      </c>
      <c r="N243" s="93">
        <f>(G243/'Population Figures'!AI19)*1000</f>
        <v>0.24810817516437164</v>
      </c>
      <c r="O243" s="93">
        <f>(H243/'Population Figures'!AI19)*1000</f>
        <v>1.8745951012419193</v>
      </c>
      <c r="P243" s="90"/>
      <c r="R243" s="426" t="s">
        <v>55</v>
      </c>
      <c r="S243" s="519">
        <v>4.6174447060996444E-2</v>
      </c>
      <c r="T243" s="519">
        <v>4.6174447060996444E-2</v>
      </c>
      <c r="U243" s="519">
        <v>0.23087223530498222</v>
      </c>
      <c r="V243" s="519">
        <v>0.50791891767096087</v>
      </c>
      <c r="W243" s="519">
        <v>0</v>
      </c>
      <c r="X243" s="519">
        <v>0.73879115297594311</v>
      </c>
      <c r="Y243" s="520">
        <v>1.569931200073879</v>
      </c>
      <c r="Z243" t="e">
        <f>IF($R243=Cover!$C$5,0,IF($R243="Scotland",0,NA()))</f>
        <v>#N/A</v>
      </c>
      <c r="AA243">
        <f>IF($R243=Cover!$C$5,NA(),IF($R243="Scotland",NA(),0))</f>
        <v>0</v>
      </c>
      <c r="AB243" s="90"/>
      <c r="AC243" s="90"/>
      <c r="AD243" s="90"/>
      <c r="AE243" s="90"/>
      <c r="AF243" s="90"/>
      <c r="AH243" s="90"/>
      <c r="AL243" s="90"/>
    </row>
    <row r="244" spans="1:38">
      <c r="A244" s="91" t="s">
        <v>45</v>
      </c>
      <c r="B244" s="510">
        <v>108</v>
      </c>
      <c r="C244" s="510">
        <v>0</v>
      </c>
      <c r="D244" s="510">
        <v>34</v>
      </c>
      <c r="E244" s="510">
        <v>15</v>
      </c>
      <c r="F244" s="510">
        <v>0</v>
      </c>
      <c r="G244" s="510">
        <v>83</v>
      </c>
      <c r="H244" s="517">
        <f t="shared" si="8"/>
        <v>240</v>
      </c>
      <c r="I244" s="93">
        <f>(B244/'Population Figures'!AI20)*1000</f>
        <v>0.98859454808414038</v>
      </c>
      <c r="J244" s="93">
        <f>(C244/'Population Figures'!AI20)*1000</f>
        <v>0</v>
      </c>
      <c r="K244" s="93">
        <f>(D244/'Population Figures'!AI20)*1000</f>
        <v>0.31122420958204416</v>
      </c>
      <c r="L244" s="93">
        <f>(E244/'Population Figures'!AI20)*1000</f>
        <v>0.13730479834501949</v>
      </c>
      <c r="M244" s="93">
        <f>(F244/'Population Figures'!AI20)*1000</f>
        <v>0</v>
      </c>
      <c r="N244" s="93">
        <f>(G244/'Population Figures'!AI20)*1000</f>
        <v>0.75975321750910785</v>
      </c>
      <c r="O244" s="93">
        <f>(H244/'Population Figures'!AI20)*1000</f>
        <v>2.1968767735203119</v>
      </c>
      <c r="P244" s="90"/>
      <c r="R244" s="426" t="s">
        <v>49</v>
      </c>
      <c r="S244" s="519">
        <v>0.5250170630545492</v>
      </c>
      <c r="T244" s="519">
        <v>0.10500341261090985</v>
      </c>
      <c r="U244" s="519">
        <v>0</v>
      </c>
      <c r="V244" s="519">
        <v>0.5250170630545492</v>
      </c>
      <c r="W244" s="519">
        <v>0</v>
      </c>
      <c r="X244" s="519">
        <v>0.3675119441381845</v>
      </c>
      <c r="Y244" s="520">
        <v>1.5225494828581929</v>
      </c>
      <c r="Z244" t="e">
        <f>IF($R244=Cover!$C$5,0,IF($R244="Scotland",0,NA()))</f>
        <v>#N/A</v>
      </c>
      <c r="AA244">
        <f>IF($R244=Cover!$C$5,NA(),IF($R244="Scotland",NA(),0))</f>
        <v>0</v>
      </c>
      <c r="AB244" s="90"/>
      <c r="AC244" s="90"/>
      <c r="AD244" s="90"/>
      <c r="AE244" s="90"/>
      <c r="AF244" s="90"/>
      <c r="AH244" s="90"/>
      <c r="AL244" s="90"/>
    </row>
    <row r="245" spans="1:38">
      <c r="A245" s="91" t="s">
        <v>46</v>
      </c>
      <c r="B245" s="510">
        <v>22</v>
      </c>
      <c r="C245" s="510">
        <v>0</v>
      </c>
      <c r="D245" s="510">
        <v>13</v>
      </c>
      <c r="E245" s="510">
        <v>4</v>
      </c>
      <c r="F245" s="510">
        <v>0</v>
      </c>
      <c r="G245" s="510">
        <v>38</v>
      </c>
      <c r="H245" s="517">
        <f t="shared" si="8"/>
        <v>77</v>
      </c>
      <c r="I245" s="93">
        <f>(B245/'Population Figures'!AI21)*1000</f>
        <v>0.48368657110192592</v>
      </c>
      <c r="J245" s="93">
        <f>(C245/'Population Figures'!AI21)*1000</f>
        <v>0</v>
      </c>
      <c r="K245" s="93">
        <f>(D245/'Population Figures'!AI21)*1000</f>
        <v>0.28581479201477439</v>
      </c>
      <c r="L245" s="93">
        <f>(E245/'Population Figures'!AI21)*1000</f>
        <v>8.7943012927622896E-2</v>
      </c>
      <c r="M245" s="93">
        <f>(F245/'Population Figures'!AI21)*1000</f>
        <v>0</v>
      </c>
      <c r="N245" s="93">
        <f>(G245/'Population Figures'!AI21)*1000</f>
        <v>0.83545862281241756</v>
      </c>
      <c r="O245" s="93">
        <f>(H245/'Population Figures'!AI21)*1000</f>
        <v>1.6929029988567408</v>
      </c>
      <c r="P245" s="90"/>
      <c r="R245" s="426" t="s">
        <v>54</v>
      </c>
      <c r="S245" s="519">
        <v>0.20538700780470631</v>
      </c>
      <c r="T245" s="519">
        <v>0.11736400445983217</v>
      </c>
      <c r="U245" s="519">
        <v>0.7628660289889091</v>
      </c>
      <c r="V245" s="519">
        <v>0.35209201337949647</v>
      </c>
      <c r="W245" s="519">
        <v>0</v>
      </c>
      <c r="X245" s="519">
        <v>0</v>
      </c>
      <c r="Y245" s="520">
        <v>1.4377090546329441</v>
      </c>
      <c r="Z245" t="e">
        <f>IF($R245=Cover!$C$5,0,IF($R245="Scotland",0,NA()))</f>
        <v>#N/A</v>
      </c>
      <c r="AA245">
        <f>IF($R245=Cover!$C$5,NA(),IF($R245="Scotland",NA(),0))</f>
        <v>0</v>
      </c>
      <c r="AB245" s="90"/>
      <c r="AC245" s="90"/>
      <c r="AD245" s="90"/>
      <c r="AE245" s="90"/>
      <c r="AF245" s="90"/>
      <c r="AH245" s="90"/>
      <c r="AL245" s="90"/>
    </row>
    <row r="246" spans="1:38">
      <c r="A246" s="91" t="s">
        <v>47</v>
      </c>
      <c r="B246" s="510">
        <v>13</v>
      </c>
      <c r="C246" s="510">
        <v>1</v>
      </c>
      <c r="D246" s="510">
        <v>3</v>
      </c>
      <c r="E246" s="510">
        <v>4</v>
      </c>
      <c r="F246" s="510">
        <v>0</v>
      </c>
      <c r="G246" s="510">
        <v>5</v>
      </c>
      <c r="H246" s="517">
        <f t="shared" si="8"/>
        <v>26</v>
      </c>
      <c r="I246" s="93">
        <f>(B246/'Population Figures'!AI22)*1000</f>
        <v>0.86770791616606602</v>
      </c>
      <c r="J246" s="93">
        <f>(C246/'Population Figures'!AI22)*1000</f>
        <v>6.6746762782005073E-2</v>
      </c>
      <c r="K246" s="93">
        <f>(D246/'Population Figures'!AI22)*1000</f>
        <v>0.2002402883460152</v>
      </c>
      <c r="L246" s="93">
        <f>(E246/'Population Figures'!AI22)*1000</f>
        <v>0.26698705112802029</v>
      </c>
      <c r="M246" s="93">
        <f>(F246/'Population Figures'!AI22)*1000</f>
        <v>0</v>
      </c>
      <c r="N246" s="93">
        <f>(G246/'Population Figures'!AI22)*1000</f>
        <v>0.33373381391002538</v>
      </c>
      <c r="O246" s="93">
        <f>(H246/'Population Figures'!AI22)*1000</f>
        <v>1.735415832332132</v>
      </c>
      <c r="P246" s="90"/>
      <c r="R246" s="426" t="s">
        <v>34</v>
      </c>
      <c r="S246" s="519">
        <v>0</v>
      </c>
      <c r="T246" s="519">
        <v>0</v>
      </c>
      <c r="U246" s="519">
        <v>0.76800000000000002</v>
      </c>
      <c r="V246" s="519">
        <v>0.44800000000000001</v>
      </c>
      <c r="W246" s="519">
        <v>0</v>
      </c>
      <c r="X246" s="519">
        <v>0.192</v>
      </c>
      <c r="Y246" s="520">
        <v>1.4079999999999999</v>
      </c>
      <c r="Z246" t="e">
        <f>IF($R246=Cover!$C$5,0,IF($R246="Scotland",0,NA()))</f>
        <v>#N/A</v>
      </c>
      <c r="AA246">
        <f>IF($R246=Cover!$C$5,NA(),IF($R246="Scotland",NA(),0))</f>
        <v>0</v>
      </c>
      <c r="AB246" s="90"/>
      <c r="AC246" s="90"/>
      <c r="AD246" s="90"/>
      <c r="AE246" s="90"/>
      <c r="AF246" s="90"/>
      <c r="AH246" s="90"/>
      <c r="AL246" s="90"/>
    </row>
    <row r="247" spans="1:38">
      <c r="A247" s="91" t="s">
        <v>48</v>
      </c>
      <c r="B247" s="510">
        <v>7</v>
      </c>
      <c r="C247" s="510">
        <v>0</v>
      </c>
      <c r="D247" s="510">
        <v>14</v>
      </c>
      <c r="E247" s="510">
        <v>3</v>
      </c>
      <c r="F247" s="510">
        <v>0</v>
      </c>
      <c r="G247" s="510">
        <v>6</v>
      </c>
      <c r="H247" s="517">
        <f t="shared" si="8"/>
        <v>30</v>
      </c>
      <c r="I247" s="93">
        <f>(B247/'Population Figures'!AI23)*1000</f>
        <v>0.38008361839604715</v>
      </c>
      <c r="J247" s="93">
        <f>(C247/'Population Figures'!AI23)*1000</f>
        <v>0</v>
      </c>
      <c r="K247" s="93">
        <f>(D247/'Population Figures'!AI23)*1000</f>
        <v>0.7601672367920943</v>
      </c>
      <c r="L247" s="93">
        <f>(E247/'Population Figures'!AI23)*1000</f>
        <v>0.16289297931259161</v>
      </c>
      <c r="M247" s="93">
        <f>(F247/'Population Figures'!AI23)*1000</f>
        <v>0</v>
      </c>
      <c r="N247" s="93">
        <f>(G247/'Population Figures'!AI23)*1000</f>
        <v>0.32578595862518323</v>
      </c>
      <c r="O247" s="93">
        <f>(H247/'Population Figures'!AI23)*1000</f>
        <v>1.6289297931259161</v>
      </c>
      <c r="P247" s="90"/>
      <c r="R247" s="426" t="s">
        <v>5</v>
      </c>
      <c r="S247" s="519">
        <v>0.12485687433881509</v>
      </c>
      <c r="T247" s="519">
        <v>7.5494854251376559E-2</v>
      </c>
      <c r="U247" s="519">
        <v>0.5178172695446982</v>
      </c>
      <c r="V247" s="519">
        <v>0.37844215400369535</v>
      </c>
      <c r="W247" s="519">
        <v>1.7421889442625363E-2</v>
      </c>
      <c r="X247" s="519">
        <v>0.29036482404375608</v>
      </c>
      <c r="Y247" s="520">
        <v>1.4043978656249669</v>
      </c>
      <c r="Z247">
        <f>IF($R247=Cover!$C$5,0,IF($R247="Scotland",0,NA()))</f>
        <v>0</v>
      </c>
      <c r="AA247" t="e">
        <f>IF($R247=Cover!$C$5,NA(),IF($R247="Scotland",NA(),0))</f>
        <v>#N/A</v>
      </c>
      <c r="AB247" s="90"/>
      <c r="AC247" s="90"/>
      <c r="AD247" s="90"/>
      <c r="AE247" s="90"/>
      <c r="AF247" s="90"/>
      <c r="AH247" s="90"/>
      <c r="AL247" s="90"/>
    </row>
    <row r="248" spans="1:38">
      <c r="A248" s="91" t="s">
        <v>49</v>
      </c>
      <c r="B248" s="510">
        <v>0</v>
      </c>
      <c r="C248" s="510">
        <v>10</v>
      </c>
      <c r="D248" s="510">
        <v>10</v>
      </c>
      <c r="E248" s="510">
        <v>2</v>
      </c>
      <c r="F248" s="510">
        <v>0</v>
      </c>
      <c r="G248" s="510">
        <v>7</v>
      </c>
      <c r="H248" s="517">
        <f t="shared" si="8"/>
        <v>29</v>
      </c>
      <c r="I248" s="93">
        <f>(B248/'Population Figures'!AI24)*1000</f>
        <v>0</v>
      </c>
      <c r="J248" s="93">
        <f>(C248/'Population Figures'!AI24)*1000</f>
        <v>0.5250170630545492</v>
      </c>
      <c r="K248" s="93">
        <f>(D248/'Population Figures'!AI24)*1000</f>
        <v>0.5250170630545492</v>
      </c>
      <c r="L248" s="93">
        <f>(E248/'Population Figures'!AI24)*1000</f>
        <v>0.10500341261090985</v>
      </c>
      <c r="M248" s="93">
        <f>(F248/'Population Figures'!AI24)*1000</f>
        <v>0</v>
      </c>
      <c r="N248" s="93">
        <f>(G248/'Population Figures'!AI24)*1000</f>
        <v>0.3675119441381845</v>
      </c>
      <c r="O248" s="93">
        <f>(H248/'Population Figures'!AI24)*1000</f>
        <v>1.5225494828581929</v>
      </c>
      <c r="P248" s="90"/>
      <c r="R248" s="426" t="s">
        <v>57</v>
      </c>
      <c r="S248" s="519">
        <v>0</v>
      </c>
      <c r="T248" s="519">
        <v>9.7828213656818624E-2</v>
      </c>
      <c r="U248" s="519">
        <v>0.53805517511250245</v>
      </c>
      <c r="V248" s="519">
        <v>0.3423987477988652</v>
      </c>
      <c r="W248" s="519">
        <v>0</v>
      </c>
      <c r="X248" s="519">
        <v>0.3423987477988652</v>
      </c>
      <c r="Y248" s="520">
        <v>1.3206808843670514</v>
      </c>
      <c r="Z248" t="e">
        <f>IF($R248=Cover!$C$5,0,IF($R248="Scotland",0,NA()))</f>
        <v>#N/A</v>
      </c>
      <c r="AA248">
        <f>IF($R248=Cover!$C$5,NA(),IF($R248="Scotland",NA(),0))</f>
        <v>0</v>
      </c>
      <c r="AB248" s="90"/>
      <c r="AC248" s="90"/>
      <c r="AD248" s="90"/>
      <c r="AE248" s="90"/>
      <c r="AF248" s="90"/>
      <c r="AH248" s="90"/>
      <c r="AL248" s="90"/>
    </row>
    <row r="249" spans="1:38">
      <c r="A249" s="91" t="s">
        <v>50</v>
      </c>
      <c r="B249" s="510">
        <v>30</v>
      </c>
      <c r="C249" s="510">
        <v>0</v>
      </c>
      <c r="D249" s="510">
        <v>19</v>
      </c>
      <c r="E249" s="510">
        <v>1</v>
      </c>
      <c r="F249" s="510">
        <v>0</v>
      </c>
      <c r="G249" s="510">
        <v>3</v>
      </c>
      <c r="H249" s="517">
        <f t="shared" si="8"/>
        <v>53</v>
      </c>
      <c r="I249" s="93">
        <f>(B249/'Population Figures'!AI25)*1000</f>
        <v>1.1217049915872126</v>
      </c>
      <c r="J249" s="93">
        <f>(C249/'Population Figures'!AI25)*1000</f>
        <v>0</v>
      </c>
      <c r="K249" s="93">
        <f>(D249/'Population Figures'!AI25)*1000</f>
        <v>0.71041316133856791</v>
      </c>
      <c r="L249" s="93">
        <f>(E249/'Population Figures'!AI25)*1000</f>
        <v>3.7390166386240417E-2</v>
      </c>
      <c r="M249" s="93">
        <f>(F249/'Population Figures'!AI25)*1000</f>
        <v>0</v>
      </c>
      <c r="N249" s="93">
        <f>(G249/'Population Figures'!AI25)*1000</f>
        <v>0.11217049915872125</v>
      </c>
      <c r="O249" s="93">
        <f>(H249/'Population Figures'!AI25)*1000</f>
        <v>1.9816788184707423</v>
      </c>
      <c r="P249" s="90"/>
      <c r="R249" s="426" t="s">
        <v>38</v>
      </c>
      <c r="S249" s="519">
        <v>0</v>
      </c>
      <c r="T249" s="519">
        <v>4.1511000415110008E-2</v>
      </c>
      <c r="U249" s="519">
        <v>0.58115400581153998</v>
      </c>
      <c r="V249" s="519">
        <v>0.24906600249066002</v>
      </c>
      <c r="W249" s="519">
        <v>0</v>
      </c>
      <c r="X249" s="519">
        <v>0.37359900373599003</v>
      </c>
      <c r="Y249" s="520">
        <v>1.2453300124533002</v>
      </c>
      <c r="Z249" t="e">
        <f>IF($R249=Cover!$C$5,0,IF($R249="Scotland",0,NA()))</f>
        <v>#N/A</v>
      </c>
      <c r="AA249">
        <f>IF($R249=Cover!$C$5,NA(),IF($R249="Scotland",NA(),0))</f>
        <v>0</v>
      </c>
      <c r="AB249" s="90"/>
      <c r="AC249" s="90"/>
      <c r="AD249" s="90"/>
      <c r="AE249" s="90"/>
      <c r="AF249" s="90"/>
      <c r="AH249" s="90"/>
      <c r="AL249" s="90"/>
    </row>
    <row r="250" spans="1:38">
      <c r="A250" s="91" t="s">
        <v>51</v>
      </c>
      <c r="B250" s="510">
        <v>26</v>
      </c>
      <c r="C250" s="510">
        <v>3</v>
      </c>
      <c r="D250" s="510">
        <v>8</v>
      </c>
      <c r="E250" s="510">
        <v>1</v>
      </c>
      <c r="F250" s="510">
        <v>0</v>
      </c>
      <c r="G250" s="510">
        <v>1</v>
      </c>
      <c r="H250" s="517">
        <f t="shared" si="8"/>
        <v>39</v>
      </c>
      <c r="I250" s="93">
        <f>(B250/'Population Figures'!AI26)*1000</f>
        <v>0.36096071081493825</v>
      </c>
      <c r="J250" s="93">
        <f>(C250/'Population Figures'!AI26)*1000</f>
        <v>4.1649312786339023E-2</v>
      </c>
      <c r="K250" s="93">
        <f>(D250/'Population Figures'!AI26)*1000</f>
        <v>0.11106483409690407</v>
      </c>
      <c r="L250" s="93">
        <f>(E250/'Population Figures'!AI26)*1000</f>
        <v>1.3883104262113009E-2</v>
      </c>
      <c r="M250" s="93">
        <f>(F250/'Population Figures'!AI26)*1000</f>
        <v>0</v>
      </c>
      <c r="N250" s="93">
        <f>(G250/'Population Figures'!AI26)*1000</f>
        <v>1.3883104262113009E-2</v>
      </c>
      <c r="O250" s="93">
        <f>(H250/'Population Figures'!AI26)*1000</f>
        <v>0.5414410662224074</v>
      </c>
      <c r="P250" s="90"/>
      <c r="R250" s="426" t="s">
        <v>61</v>
      </c>
      <c r="S250" s="519">
        <v>0</v>
      </c>
      <c r="T250" s="519">
        <v>2.5315814789499E-2</v>
      </c>
      <c r="U250" s="519">
        <v>0.303789777473988</v>
      </c>
      <c r="V250" s="519">
        <v>0.607579554947976</v>
      </c>
      <c r="W250" s="519">
        <v>0</v>
      </c>
      <c r="X250" s="519">
        <v>0.202526518315992</v>
      </c>
      <c r="Y250" s="520">
        <v>1.1392116655274549</v>
      </c>
      <c r="Z250" t="e">
        <f>IF($R250=Cover!$C$5,0,IF($R250="Scotland",0,NA()))</f>
        <v>#N/A</v>
      </c>
      <c r="AA250">
        <f>IF($R250=Cover!$C$5,NA(),IF($R250="Scotland",NA(),0))</f>
        <v>0</v>
      </c>
      <c r="AB250" s="90"/>
      <c r="AC250" s="90"/>
      <c r="AD250" s="90"/>
      <c r="AE250" s="90"/>
      <c r="AF250" s="90"/>
      <c r="AH250" s="90"/>
      <c r="AL250" s="90"/>
    </row>
    <row r="251" spans="1:38">
      <c r="A251" s="91" t="s">
        <v>52</v>
      </c>
      <c r="B251" s="510">
        <v>8</v>
      </c>
      <c r="C251" s="510">
        <v>0</v>
      </c>
      <c r="D251" s="510">
        <v>4</v>
      </c>
      <c r="E251" s="510">
        <v>1</v>
      </c>
      <c r="F251" s="510">
        <v>0</v>
      </c>
      <c r="G251" s="510">
        <v>0</v>
      </c>
      <c r="H251" s="517">
        <f t="shared" si="8"/>
        <v>13</v>
      </c>
      <c r="I251" s="93">
        <f>(B251/'Population Figures'!AI27)*1000</f>
        <v>1.9945150835203191</v>
      </c>
      <c r="J251" s="93">
        <f>(C251/'Population Figures'!AI27)*1000</f>
        <v>0</v>
      </c>
      <c r="K251" s="93">
        <f>(D251/'Population Figures'!AI27)*1000</f>
        <v>0.99725754176015957</v>
      </c>
      <c r="L251" s="93">
        <f>(E251/'Population Figures'!AI27)*1000</f>
        <v>0.24931438544003989</v>
      </c>
      <c r="M251" s="93">
        <f>(F251/'Population Figures'!AI27)*1000</f>
        <v>0</v>
      </c>
      <c r="N251" s="93">
        <f>(G251/'Population Figures'!AI27)*1000</f>
        <v>0</v>
      </c>
      <c r="O251" s="93">
        <f>(H251/'Population Figures'!AI27)*1000</f>
        <v>3.2410870107205185</v>
      </c>
      <c r="P251" s="90"/>
      <c r="R251" s="426" t="s">
        <v>36</v>
      </c>
      <c r="S251" s="519">
        <v>0</v>
      </c>
      <c r="T251" s="519">
        <v>3.6583135174684471E-2</v>
      </c>
      <c r="U251" s="519">
        <v>0.10974940552405341</v>
      </c>
      <c r="V251" s="519">
        <v>0.47558075727089816</v>
      </c>
      <c r="W251" s="519">
        <v>0</v>
      </c>
      <c r="X251" s="519">
        <v>0.51216389244558258</v>
      </c>
      <c r="Y251" s="520">
        <v>1.1340771904152185</v>
      </c>
      <c r="Z251" t="e">
        <f>IF($R251=Cover!$C$5,0,IF($R251="Scotland",0,NA()))</f>
        <v>#N/A</v>
      </c>
      <c r="AA251">
        <f>IF($R251=Cover!$C$5,NA(),IF($R251="Scotland",NA(),0))</f>
        <v>0</v>
      </c>
      <c r="AB251" s="90"/>
      <c r="AC251" s="90"/>
      <c r="AD251" s="90"/>
      <c r="AE251" s="90"/>
      <c r="AF251" s="90"/>
      <c r="AH251" s="90"/>
      <c r="AL251" s="90"/>
    </row>
    <row r="252" spans="1:38">
      <c r="A252" s="91" t="s">
        <v>53</v>
      </c>
      <c r="B252" s="510">
        <v>13</v>
      </c>
      <c r="C252" s="510">
        <v>0</v>
      </c>
      <c r="D252" s="510">
        <v>7</v>
      </c>
      <c r="E252" s="510">
        <v>0</v>
      </c>
      <c r="F252" s="510">
        <v>0</v>
      </c>
      <c r="G252" s="510">
        <v>0</v>
      </c>
      <c r="H252" s="517">
        <f t="shared" si="8"/>
        <v>20</v>
      </c>
      <c r="I252" s="93">
        <f>(B252/'Population Figures'!AI28)*1000</f>
        <v>0.46166412159522707</v>
      </c>
      <c r="J252" s="93">
        <f>(C252/'Population Figures'!AI28)*1000</f>
        <v>0</v>
      </c>
      <c r="K252" s="93">
        <f>(D252/'Population Figures'!AI28)*1000</f>
        <v>0.24858837316666077</v>
      </c>
      <c r="L252" s="93">
        <f>(E252/'Population Figures'!AI28)*1000</f>
        <v>0</v>
      </c>
      <c r="M252" s="93">
        <f>(F252/'Population Figures'!AI28)*1000</f>
        <v>0</v>
      </c>
      <c r="N252" s="93">
        <f>(G252/'Population Figures'!AI28)*1000</f>
        <v>0</v>
      </c>
      <c r="O252" s="93">
        <f>(H252/'Population Figures'!AI28)*1000</f>
        <v>0.7102524947618879</v>
      </c>
      <c r="P252" s="90"/>
      <c r="R252" s="426" t="s">
        <v>140</v>
      </c>
      <c r="S252" s="519">
        <v>5.9119125036949452E-2</v>
      </c>
      <c r="T252" s="519">
        <v>0.1182382500738989</v>
      </c>
      <c r="U252" s="519">
        <v>0.61483890038427436</v>
      </c>
      <c r="V252" s="519">
        <v>0.22465267514040793</v>
      </c>
      <c r="W252" s="519">
        <v>0</v>
      </c>
      <c r="X252" s="519">
        <v>9.4590600059119123E-2</v>
      </c>
      <c r="Y252" s="520">
        <v>1.1114395506946497</v>
      </c>
      <c r="Z252" t="e">
        <f>IF($R252=Cover!$C$5,0,IF($R252="Scotland",0,NA()))</f>
        <v>#N/A</v>
      </c>
      <c r="AA252">
        <f>IF($R252=Cover!$C$5,NA(),IF($R252="Scotland",NA(),0))</f>
        <v>0</v>
      </c>
      <c r="AB252" s="90"/>
      <c r="AC252" s="90"/>
      <c r="AD252" s="90"/>
      <c r="AE252" s="90"/>
      <c r="AF252" s="90"/>
      <c r="AH252" s="90"/>
      <c r="AL252" s="90"/>
    </row>
    <row r="253" spans="1:38">
      <c r="A253" s="91" t="s">
        <v>54</v>
      </c>
      <c r="B253" s="510">
        <v>26</v>
      </c>
      <c r="C253" s="510">
        <v>7</v>
      </c>
      <c r="D253" s="510">
        <v>12</v>
      </c>
      <c r="E253" s="510">
        <v>4</v>
      </c>
      <c r="F253" s="510">
        <v>0</v>
      </c>
      <c r="G253" s="510">
        <v>0</v>
      </c>
      <c r="H253" s="517">
        <f t="shared" si="8"/>
        <v>49</v>
      </c>
      <c r="I253" s="93">
        <f>(B253/'Population Figures'!AI29)*1000</f>
        <v>0.7628660289889091</v>
      </c>
      <c r="J253" s="93">
        <f>(C253/'Population Figures'!AI29)*1000</f>
        <v>0.20538700780470631</v>
      </c>
      <c r="K253" s="93">
        <f>(D253/'Population Figures'!AI29)*1000</f>
        <v>0.35209201337949647</v>
      </c>
      <c r="L253" s="93">
        <f>(E253/'Population Figures'!AI29)*1000</f>
        <v>0.11736400445983217</v>
      </c>
      <c r="M253" s="93">
        <f>(F253/'Population Figures'!AI29)*1000</f>
        <v>0</v>
      </c>
      <c r="N253" s="93">
        <f>(G253/'Population Figures'!AI29)*1000</f>
        <v>0</v>
      </c>
      <c r="O253" s="93">
        <f>(H253/'Population Figures'!AI29)*1000</f>
        <v>1.4377090546329441</v>
      </c>
      <c r="P253" s="90"/>
      <c r="R253" s="426" t="s">
        <v>58</v>
      </c>
      <c r="S253" s="519">
        <v>0.19291053773812394</v>
      </c>
      <c r="T253" s="519">
        <v>6.4303512579374653E-2</v>
      </c>
      <c r="U253" s="519">
        <v>0.64303512579374644</v>
      </c>
      <c r="V253" s="519">
        <v>0.20898641588296762</v>
      </c>
      <c r="W253" s="519">
        <v>0</v>
      </c>
      <c r="X253" s="519">
        <v>0</v>
      </c>
      <c r="Y253" s="520">
        <v>1.1092355919942127</v>
      </c>
      <c r="Z253" t="e">
        <f>IF($R253=Cover!$C$5,0,IF($R253="Scotland",0,NA()))</f>
        <v>#N/A</v>
      </c>
      <c r="AA253">
        <f>IF($R253=Cover!$C$5,NA(),IF($R253="Scotland",NA(),0))</f>
        <v>0</v>
      </c>
      <c r="AB253" s="90"/>
      <c r="AC253" s="90"/>
      <c r="AD253" s="90"/>
      <c r="AE253" s="90"/>
      <c r="AF253" s="90"/>
      <c r="AH253" s="90"/>
      <c r="AL253" s="90"/>
    </row>
    <row r="254" spans="1:38">
      <c r="A254" s="91" t="s">
        <v>55</v>
      </c>
      <c r="B254" s="510">
        <v>5</v>
      </c>
      <c r="C254" s="510">
        <v>1</v>
      </c>
      <c r="D254" s="510">
        <v>11</v>
      </c>
      <c r="E254" s="510">
        <v>1</v>
      </c>
      <c r="F254" s="510">
        <v>0</v>
      </c>
      <c r="G254" s="510">
        <v>16</v>
      </c>
      <c r="H254" s="517">
        <f t="shared" si="8"/>
        <v>34</v>
      </c>
      <c r="I254" s="93">
        <f>(B254/'Population Figures'!AI30)*1000</f>
        <v>0.23087223530498222</v>
      </c>
      <c r="J254" s="93">
        <f>(C254/'Population Figures'!AI30)*1000</f>
        <v>4.6174447060996444E-2</v>
      </c>
      <c r="K254" s="93">
        <f>(D254/'Population Figures'!AI30)*1000</f>
        <v>0.50791891767096087</v>
      </c>
      <c r="L254" s="93">
        <f>(E254/'Population Figures'!AI30)*1000</f>
        <v>4.6174447060996444E-2</v>
      </c>
      <c r="M254" s="93">
        <f>(F254/'Population Figures'!AI30)*1000</f>
        <v>0</v>
      </c>
      <c r="N254" s="93">
        <f>(G254/'Population Figures'!AI30)*1000</f>
        <v>0.73879115297594311</v>
      </c>
      <c r="O254" s="93">
        <f>(H254/'Population Figures'!AI30)*1000</f>
        <v>1.569931200073879</v>
      </c>
      <c r="P254" s="90"/>
      <c r="R254" s="426" t="s">
        <v>39</v>
      </c>
      <c r="S254" s="519">
        <v>0.28507625789898794</v>
      </c>
      <c r="T254" s="519">
        <v>4.7512709649831335E-2</v>
      </c>
      <c r="U254" s="519">
        <v>0.47512709649831331</v>
      </c>
      <c r="V254" s="519">
        <v>0.14253812894949397</v>
      </c>
      <c r="W254" s="519">
        <v>0</v>
      </c>
      <c r="X254" s="519">
        <v>4.7512709649831335E-2</v>
      </c>
      <c r="Y254" s="520">
        <v>0.99776690264645795</v>
      </c>
      <c r="Z254" t="e">
        <f>IF($R254=Cover!$C$5,0,IF($R254="Scotland",0,NA()))</f>
        <v>#N/A</v>
      </c>
      <c r="AA254">
        <f>IF($R254=Cover!$C$5,NA(),IF($R254="Scotland",NA(),0))</f>
        <v>0</v>
      </c>
      <c r="AB254" s="90"/>
      <c r="AC254" s="90"/>
      <c r="AD254" s="90"/>
      <c r="AE254" s="90"/>
      <c r="AF254" s="90"/>
      <c r="AH254" s="90"/>
      <c r="AL254" s="90"/>
    </row>
    <row r="255" spans="1:38">
      <c r="A255" s="91" t="s">
        <v>56</v>
      </c>
      <c r="B255" s="510">
        <v>2</v>
      </c>
      <c r="C255" s="510">
        <v>0</v>
      </c>
      <c r="D255" s="510">
        <v>0</v>
      </c>
      <c r="E255" s="510">
        <v>0</v>
      </c>
      <c r="F255" s="510">
        <v>0</v>
      </c>
      <c r="G255" s="510">
        <v>2</v>
      </c>
      <c r="H255" s="517">
        <f t="shared" si="8"/>
        <v>4</v>
      </c>
      <c r="I255" s="93">
        <f>(B255/'Population Figures'!AI31)*1000</f>
        <v>0.41017227235438886</v>
      </c>
      <c r="J255" s="93">
        <f>(C255/'Population Figures'!AI31)*1000</f>
        <v>0</v>
      </c>
      <c r="K255" s="93">
        <f>(D255/'Population Figures'!AI31)*1000</f>
        <v>0</v>
      </c>
      <c r="L255" s="93">
        <f>(E255/'Population Figures'!AI31)*1000</f>
        <v>0</v>
      </c>
      <c r="M255" s="93">
        <f>(F255/'Population Figures'!AI31)*1000</f>
        <v>0</v>
      </c>
      <c r="N255" s="93">
        <f>(G255/'Population Figures'!AI31)*1000</f>
        <v>0.41017227235438886</v>
      </c>
      <c r="O255" s="93">
        <f>(H255/'Population Figures'!AI31)*1000</f>
        <v>0.82034454470877771</v>
      </c>
      <c r="P255" s="90"/>
      <c r="R255" s="426" t="s">
        <v>32</v>
      </c>
      <c r="S255" s="519">
        <v>0.16438956674216409</v>
      </c>
      <c r="T255" s="519">
        <v>0</v>
      </c>
      <c r="U255" s="519">
        <v>0.27398261123694018</v>
      </c>
      <c r="V255" s="519">
        <v>0.51143420764228831</v>
      </c>
      <c r="W255" s="519">
        <v>0</v>
      </c>
      <c r="X255" s="519">
        <v>0</v>
      </c>
      <c r="Y255" s="520">
        <v>0.94980638562139252</v>
      </c>
      <c r="Z255" t="e">
        <f>IF($R255=Cover!$C$5,0,IF($R255="Scotland",0,NA()))</f>
        <v>#N/A</v>
      </c>
      <c r="AA255">
        <f>IF($R255=Cover!$C$5,NA(),IF($R255="Scotland",NA(),0))</f>
        <v>0</v>
      </c>
      <c r="AB255" s="90"/>
      <c r="AC255" s="90"/>
      <c r="AD255" s="90"/>
      <c r="AE255" s="90"/>
      <c r="AF255" s="90"/>
      <c r="AH255" s="90"/>
      <c r="AL255" s="90"/>
    </row>
    <row r="256" spans="1:38">
      <c r="A256" s="91" t="s">
        <v>57</v>
      </c>
      <c r="B256" s="510">
        <v>11</v>
      </c>
      <c r="C256" s="510">
        <v>0</v>
      </c>
      <c r="D256" s="510">
        <v>7</v>
      </c>
      <c r="E256" s="510">
        <v>2</v>
      </c>
      <c r="F256" s="510">
        <v>0</v>
      </c>
      <c r="G256" s="510">
        <v>7</v>
      </c>
      <c r="H256" s="517">
        <f t="shared" si="8"/>
        <v>27</v>
      </c>
      <c r="I256" s="93">
        <f>(B256/'Population Figures'!AI32)*1000</f>
        <v>0.53805517511250245</v>
      </c>
      <c r="J256" s="93">
        <f>(C256/'Population Figures'!AI32)*1000</f>
        <v>0</v>
      </c>
      <c r="K256" s="93">
        <f>(D256/'Population Figures'!AI32)*1000</f>
        <v>0.3423987477988652</v>
      </c>
      <c r="L256" s="93">
        <f>(E256/'Population Figures'!AI32)*1000</f>
        <v>9.7828213656818624E-2</v>
      </c>
      <c r="M256" s="93">
        <f>(F256/'Population Figures'!AI32)*1000</f>
        <v>0</v>
      </c>
      <c r="N256" s="93">
        <f>(G256/'Population Figures'!AI32)*1000</f>
        <v>0.3423987477988652</v>
      </c>
      <c r="O256" s="93">
        <f>(H256/'Population Figures'!AI32)*1000</f>
        <v>1.3206808843670514</v>
      </c>
      <c r="P256" s="90"/>
      <c r="R256" s="426" t="s">
        <v>40</v>
      </c>
      <c r="S256" s="519">
        <v>0</v>
      </c>
      <c r="T256" s="519">
        <v>0</v>
      </c>
      <c r="U256" s="519">
        <v>0.32896282720052639</v>
      </c>
      <c r="V256" s="519">
        <v>0.42295220640067671</v>
      </c>
      <c r="W256" s="519">
        <v>0</v>
      </c>
      <c r="X256" s="519">
        <v>0.1409840688002256</v>
      </c>
      <c r="Y256" s="520">
        <v>0.89289910240142867</v>
      </c>
      <c r="Z256" t="e">
        <f>IF($R256=Cover!$C$5,0,IF($R256="Scotland",0,NA()))</f>
        <v>#N/A</v>
      </c>
      <c r="AA256">
        <f>IF($R256=Cover!$C$5,NA(),IF($R256="Scotland",NA(),0))</f>
        <v>0</v>
      </c>
      <c r="AB256" s="90"/>
      <c r="AC256" s="90"/>
      <c r="AD256" s="90"/>
      <c r="AE256" s="90"/>
      <c r="AF256" s="90"/>
      <c r="AH256" s="90"/>
      <c r="AL256" s="90"/>
    </row>
    <row r="257" spans="1:38">
      <c r="A257" s="91" t="s">
        <v>58</v>
      </c>
      <c r="B257" s="510">
        <v>40</v>
      </c>
      <c r="C257" s="510">
        <v>12</v>
      </c>
      <c r="D257" s="510">
        <v>13</v>
      </c>
      <c r="E257" s="510">
        <v>4</v>
      </c>
      <c r="F257" s="510">
        <v>0</v>
      </c>
      <c r="G257" s="510">
        <v>0</v>
      </c>
      <c r="H257" s="517">
        <f t="shared" si="8"/>
        <v>69</v>
      </c>
      <c r="I257" s="93">
        <f>(B257/'Population Figures'!AI33)*1000</f>
        <v>0.64303512579374644</v>
      </c>
      <c r="J257" s="93">
        <f>(C257/'Population Figures'!AI33)*1000</f>
        <v>0.19291053773812394</v>
      </c>
      <c r="K257" s="93">
        <f>(D257/'Population Figures'!AI33)*1000</f>
        <v>0.20898641588296762</v>
      </c>
      <c r="L257" s="93">
        <f>(E257/'Population Figures'!AI33)*1000</f>
        <v>6.4303512579374653E-2</v>
      </c>
      <c r="M257" s="93">
        <f>(F257/'Population Figures'!AI33)*1000</f>
        <v>0</v>
      </c>
      <c r="N257" s="93">
        <f>(G257/'Population Figures'!AI33)*1000</f>
        <v>0</v>
      </c>
      <c r="O257" s="93">
        <f>(H257/'Population Figures'!AI33)*1000</f>
        <v>1.1092355919942127</v>
      </c>
      <c r="P257" s="90"/>
      <c r="R257" s="426" t="s">
        <v>56</v>
      </c>
      <c r="S257" s="519">
        <v>0</v>
      </c>
      <c r="T257" s="519">
        <v>0</v>
      </c>
      <c r="U257" s="519">
        <v>0.41017227235438886</v>
      </c>
      <c r="V257" s="519">
        <v>0</v>
      </c>
      <c r="W257" s="519">
        <v>0</v>
      </c>
      <c r="X257" s="519">
        <v>0.41017227235438886</v>
      </c>
      <c r="Y257" s="520">
        <v>0.82034454470877771</v>
      </c>
      <c r="Z257" t="e">
        <f>IF($R257=Cover!$C$5,0,IF($R257="Scotland",0,NA()))</f>
        <v>#N/A</v>
      </c>
      <c r="AA257">
        <f>IF($R257=Cover!$C$5,NA(),IF($R257="Scotland",NA(),0))</f>
        <v>0</v>
      </c>
      <c r="AB257" s="90"/>
      <c r="AC257" s="90"/>
      <c r="AD257" s="90"/>
      <c r="AE257" s="90"/>
      <c r="AF257" s="90"/>
      <c r="AH257" s="90"/>
      <c r="AL257" s="90"/>
    </row>
    <row r="258" spans="1:38">
      <c r="A258" s="91" t="s">
        <v>59</v>
      </c>
      <c r="B258" s="510">
        <v>4</v>
      </c>
      <c r="C258" s="510">
        <v>1</v>
      </c>
      <c r="D258" s="510">
        <v>20</v>
      </c>
      <c r="E258" s="510">
        <v>1</v>
      </c>
      <c r="F258" s="510">
        <v>1</v>
      </c>
      <c r="G258" s="510">
        <v>6</v>
      </c>
      <c r="H258" s="517">
        <f t="shared" si="8"/>
        <v>33</v>
      </c>
      <c r="I258" s="93">
        <f>(B258/'Population Figures'!AI34)*1000</f>
        <v>0.22179096201829776</v>
      </c>
      <c r="J258" s="93">
        <f>(C258/'Population Figures'!AI34)*1000</f>
        <v>5.544774050457444E-2</v>
      </c>
      <c r="K258" s="93">
        <f>(D258/'Population Figures'!AI34)*1000</f>
        <v>1.1089548100914888</v>
      </c>
      <c r="L258" s="93">
        <f>(E258/'Population Figures'!AI34)*1000</f>
        <v>5.544774050457444E-2</v>
      </c>
      <c r="M258" s="93">
        <f>(F258/'Population Figures'!AI34)*1000</f>
        <v>5.544774050457444E-2</v>
      </c>
      <c r="N258" s="93">
        <f>(G258/'Population Figures'!AI34)*1000</f>
        <v>0.33268644302744665</v>
      </c>
      <c r="O258" s="93">
        <f>(H258/'Population Figures'!AI34)*1000</f>
        <v>1.8297754366509567</v>
      </c>
      <c r="P258" s="90"/>
      <c r="R258" s="426" t="s">
        <v>53</v>
      </c>
      <c r="S258" s="519">
        <v>0</v>
      </c>
      <c r="T258" s="519">
        <v>0</v>
      </c>
      <c r="U258" s="519">
        <v>0.46166412159522707</v>
      </c>
      <c r="V258" s="519">
        <v>0.24858837316666077</v>
      </c>
      <c r="W258" s="519">
        <v>0</v>
      </c>
      <c r="X258" s="519">
        <v>0</v>
      </c>
      <c r="Y258" s="520">
        <v>0.7102524947618879</v>
      </c>
      <c r="Z258" t="e">
        <f>IF($R258=Cover!$C$5,0,IF($R258="Scotland",0,NA()))</f>
        <v>#N/A</v>
      </c>
      <c r="AA258">
        <f>IF($R258=Cover!$C$5,NA(),IF($R258="Scotland",NA(),0))</f>
        <v>0</v>
      </c>
      <c r="AB258" s="90"/>
      <c r="AC258" s="90"/>
      <c r="AD258" s="90"/>
      <c r="AE258" s="90"/>
      <c r="AF258" s="90"/>
      <c r="AH258" s="90"/>
      <c r="AL258" s="90"/>
    </row>
    <row r="259" spans="1:38">
      <c r="A259" s="91" t="s">
        <v>60</v>
      </c>
      <c r="B259" s="510">
        <v>20</v>
      </c>
      <c r="C259" s="510">
        <v>0</v>
      </c>
      <c r="D259" s="510">
        <v>18</v>
      </c>
      <c r="E259" s="510">
        <v>1</v>
      </c>
      <c r="F259" s="510">
        <v>0</v>
      </c>
      <c r="G259" s="510">
        <v>3</v>
      </c>
      <c r="H259" s="517">
        <f t="shared" si="8"/>
        <v>42</v>
      </c>
      <c r="I259" s="93">
        <f>(B259/'Population Figures'!AI35)*1000</f>
        <v>1.1259359342453414</v>
      </c>
      <c r="J259" s="93">
        <f>(C259/'Population Figures'!AI35)*1000</f>
        <v>0</v>
      </c>
      <c r="K259" s="93">
        <f>(D259/'Population Figures'!AI35)*1000</f>
        <v>1.0133423408208073</v>
      </c>
      <c r="L259" s="93">
        <f>(E259/'Population Figures'!AI35)*1000</f>
        <v>5.6296796712267075E-2</v>
      </c>
      <c r="M259" s="93">
        <f>(F259/'Population Figures'!AI35)*1000</f>
        <v>0</v>
      </c>
      <c r="N259" s="93">
        <f>(G259/'Population Figures'!AI35)*1000</f>
        <v>0.16889039013680121</v>
      </c>
      <c r="O259" s="93">
        <f>(H259/'Population Figures'!AI35)*1000</f>
        <v>2.3644654619152172</v>
      </c>
      <c r="P259" s="90"/>
      <c r="R259" s="426" t="s">
        <v>33</v>
      </c>
      <c r="S259" s="519">
        <v>0</v>
      </c>
      <c r="T259" s="519">
        <v>8.8845453333925642E-2</v>
      </c>
      <c r="U259" s="519">
        <v>0.26653636000177694</v>
      </c>
      <c r="V259" s="519">
        <v>0.17769090666785128</v>
      </c>
      <c r="W259" s="519">
        <v>4.4422726666962821E-2</v>
      </c>
      <c r="X259" s="519">
        <v>4.4422726666962821E-2</v>
      </c>
      <c r="Y259" s="520">
        <v>0.62191817333747945</v>
      </c>
      <c r="Z259" t="e">
        <f>IF($R259=Cover!$C$5,0,IF($R259="Scotland",0,NA()))</f>
        <v>#N/A</v>
      </c>
      <c r="AA259">
        <f>IF($R259=Cover!$C$5,NA(),IF($R259="Scotland",NA(),0))</f>
        <v>0</v>
      </c>
      <c r="AB259" s="90"/>
      <c r="AC259" s="90"/>
      <c r="AD259" s="90"/>
      <c r="AE259" s="90"/>
      <c r="AF259" s="90"/>
      <c r="AH259" s="90"/>
      <c r="AL259" s="90"/>
    </row>
    <row r="260" spans="1:38">
      <c r="A260" s="91" t="s">
        <v>61</v>
      </c>
      <c r="B260" s="510">
        <v>12</v>
      </c>
      <c r="C260" s="510">
        <v>0</v>
      </c>
      <c r="D260" s="510">
        <v>24</v>
      </c>
      <c r="E260" s="510">
        <v>1</v>
      </c>
      <c r="F260" s="510">
        <v>0</v>
      </c>
      <c r="G260" s="510">
        <v>8</v>
      </c>
      <c r="H260" s="517">
        <f t="shared" si="8"/>
        <v>45</v>
      </c>
      <c r="I260" s="93">
        <f>(B260/'Population Figures'!AI36)*1000</f>
        <v>0.303789777473988</v>
      </c>
      <c r="J260" s="93">
        <f>(C260/'Population Figures'!AI36)*1000</f>
        <v>0</v>
      </c>
      <c r="K260" s="93">
        <f>(D260/'Population Figures'!AI36)*1000</f>
        <v>0.607579554947976</v>
      </c>
      <c r="L260" s="93">
        <f>(E260/'Population Figures'!AI36)*1000</f>
        <v>2.5315814789499E-2</v>
      </c>
      <c r="M260" s="93">
        <f>(F260/'Population Figures'!AI36)*1000</f>
        <v>0</v>
      </c>
      <c r="N260" s="93">
        <f>(G260/'Population Figures'!AI36)*1000</f>
        <v>0.202526518315992</v>
      </c>
      <c r="O260" s="93">
        <f>(H260/'Population Figures'!AI36)*1000</f>
        <v>1.1392116655274549</v>
      </c>
      <c r="P260" s="90"/>
      <c r="R260" s="426" t="s">
        <v>51</v>
      </c>
      <c r="S260" s="519">
        <v>4.1649312786339023E-2</v>
      </c>
      <c r="T260" s="519">
        <v>1.3883104262113009E-2</v>
      </c>
      <c r="U260" s="519">
        <v>0.36096071081493825</v>
      </c>
      <c r="V260" s="519">
        <v>0.11106483409690407</v>
      </c>
      <c r="W260" s="519">
        <v>0</v>
      </c>
      <c r="X260" s="519">
        <v>1.3883104262113009E-2</v>
      </c>
      <c r="Y260" s="520">
        <v>0.5414410662224074</v>
      </c>
      <c r="Z260" t="e">
        <f>IF($R260=Cover!$C$5,0,IF($R260="Scotland",0,NA()))</f>
        <v>#N/A</v>
      </c>
      <c r="AA260">
        <f>IF($R260=Cover!$C$5,NA(),IF($R260="Scotland",NA(),0))</f>
        <v>0</v>
      </c>
      <c r="AB260" s="90"/>
      <c r="AC260" s="90"/>
      <c r="AD260" s="90"/>
      <c r="AE260" s="90"/>
      <c r="AF260" s="90"/>
      <c r="AH260" s="90"/>
      <c r="AL260" s="90"/>
    </row>
    <row r="261" spans="1:38">
      <c r="A261" s="94" t="s">
        <v>5</v>
      </c>
      <c r="B261" s="62">
        <v>535</v>
      </c>
      <c r="C261" s="62">
        <v>129</v>
      </c>
      <c r="D261" s="62">
        <v>391</v>
      </c>
      <c r="E261" s="62">
        <v>78</v>
      </c>
      <c r="F261" s="62">
        <v>18</v>
      </c>
      <c r="G261" s="62">
        <v>300</v>
      </c>
      <c r="H261" s="518">
        <f t="shared" si="8"/>
        <v>1451</v>
      </c>
      <c r="I261" s="95">
        <f>(B261/'Population Figures'!AI37)*1000</f>
        <v>0.5178172695446982</v>
      </c>
      <c r="J261" s="95">
        <f>(C261/'Population Figures'!AI37)*1000</f>
        <v>0.12485687433881509</v>
      </c>
      <c r="K261" s="95">
        <f>(D261/'Population Figures'!AI37)*1000</f>
        <v>0.37844215400369535</v>
      </c>
      <c r="L261" s="95">
        <f>(E261/'Population Figures'!AI37)*1000</f>
        <v>7.5494854251376559E-2</v>
      </c>
      <c r="M261" s="95">
        <f>(F261/'Population Figures'!AI37)*1000</f>
        <v>1.7421889442625363E-2</v>
      </c>
      <c r="N261" s="95">
        <f>(G261/'Population Figures'!AI37)*1000</f>
        <v>0.29036482404375608</v>
      </c>
      <c r="O261" s="95">
        <f>(H261/'Population Figures'!AI37)*1000</f>
        <v>1.4043978656249669</v>
      </c>
      <c r="P261" s="90"/>
      <c r="R261" s="426" t="s">
        <v>41</v>
      </c>
      <c r="S261" s="519">
        <v>0</v>
      </c>
      <c r="T261" s="519">
        <v>0</v>
      </c>
      <c r="U261" s="519">
        <v>9.6464573385424204E-2</v>
      </c>
      <c r="V261" s="519">
        <v>0.2411614334635605</v>
      </c>
      <c r="W261" s="519">
        <v>0</v>
      </c>
      <c r="X261" s="519">
        <v>0</v>
      </c>
      <c r="Y261" s="520">
        <v>0.33762600684898469</v>
      </c>
      <c r="Z261" t="e">
        <f>IF($R261=Cover!$C$5,0,IF($R261="Scotland",0,NA()))</f>
        <v>#N/A</v>
      </c>
      <c r="AA261">
        <f>IF($R261=Cover!$C$5,NA(),IF($R261="Scotland",NA(),0))</f>
        <v>0</v>
      </c>
      <c r="AB261" s="90"/>
      <c r="AC261" s="90"/>
      <c r="AD261" s="90"/>
      <c r="AE261" s="90"/>
      <c r="AF261" s="90"/>
      <c r="AH261" s="90"/>
      <c r="AL261" s="90"/>
    </row>
    <row r="263" spans="1:38">
      <c r="A263" s="1" t="s">
        <v>93</v>
      </c>
    </row>
    <row r="264" spans="1:38">
      <c r="A264" s="85" t="s">
        <v>278</v>
      </c>
    </row>
    <row r="265" spans="1:38" ht="63.75">
      <c r="S265" s="197" t="str">
        <f>S228</f>
        <v>In residential school</v>
      </c>
      <c r="T265" s="197" t="str">
        <f t="shared" ref="T265:Y265" si="9">T228</f>
        <v>In secure accommodation</v>
      </c>
      <c r="U265" s="197" t="str">
        <f t="shared" si="9"/>
        <v>In local authority care home</v>
      </c>
      <c r="V265" s="197" t="str">
        <f t="shared" si="9"/>
        <v>In voluntary care home</v>
      </c>
      <c r="W265" s="197" t="str">
        <f t="shared" si="9"/>
        <v>Crisis care</v>
      </c>
      <c r="X265" s="197" t="str">
        <f t="shared" si="9"/>
        <v>Other residential placement</v>
      </c>
      <c r="Y265" s="197" t="str">
        <f t="shared" si="9"/>
        <v>Total</v>
      </c>
    </row>
    <row r="266" spans="1:38">
      <c r="R266" t="str">
        <f>Cover!$C$5</f>
        <v>Aberdeen City</v>
      </c>
      <c r="S266" s="236">
        <f>VLOOKUP($R266,$R$228:$Y$261,2,0)</f>
        <v>0.15961691939345568</v>
      </c>
      <c r="T266" s="236">
        <f>VLOOKUP($R266,$R$228:$Y$261,3,0)</f>
        <v>0.10641127959563713</v>
      </c>
      <c r="U266" s="236">
        <f>VLOOKUP($R266,$R$228:$Y$261,4,0)</f>
        <v>0.39904229848363931</v>
      </c>
      <c r="V266" s="236">
        <f>VLOOKUP($R266,$R$228:$Y$261,5,0)</f>
        <v>0.37243947858472998</v>
      </c>
      <c r="W266" s="236">
        <f>VLOOKUP($R266,$R$228:$Y$261,6,0)</f>
        <v>0</v>
      </c>
      <c r="X266" s="236">
        <f>VLOOKUP($R266,$R$228:$Y$261,7,0)</f>
        <v>0.55865921787709494</v>
      </c>
      <c r="Y266" s="236">
        <f>VLOOKUP($R266,$R$228:$Y$261,8,0)</f>
        <v>1.5961691939345573</v>
      </c>
    </row>
    <row r="267" spans="1:38">
      <c r="R267" t="s">
        <v>5</v>
      </c>
      <c r="S267" s="236">
        <f>VLOOKUP($R267,$R$228:$Y$261,2,0)</f>
        <v>0.12485687433881509</v>
      </c>
      <c r="T267" s="236">
        <f>VLOOKUP($R267,$R$228:$Y$261,3,0)</f>
        <v>7.5494854251376559E-2</v>
      </c>
      <c r="U267" s="236">
        <f>VLOOKUP($R267,$R$228:$Y$261,4,0)</f>
        <v>0.5178172695446982</v>
      </c>
      <c r="V267" s="236">
        <f>VLOOKUP($R267,$R$228:$Y$261,5,0)</f>
        <v>0.37844215400369535</v>
      </c>
      <c r="W267" s="236">
        <f>VLOOKUP($R267,$R$228:$Y$261,6,0)</f>
        <v>1.7421889442625363E-2</v>
      </c>
      <c r="X267" s="236">
        <f>VLOOKUP($R267,$R$228:$Y$261,7,0)</f>
        <v>0.29036482404375608</v>
      </c>
      <c r="Y267" s="236">
        <f>VLOOKUP($R267,$R$228:$Y$261,8,0)</f>
        <v>1.4043978656249669</v>
      </c>
    </row>
    <row r="268" spans="1:38">
      <c r="R268" t="str">
        <f>R266</f>
        <v>Aberdeen City</v>
      </c>
      <c r="S268" s="18">
        <f t="shared" ref="S268:X268" si="10">S266/$Y$266</f>
        <v>9.9999999999999978E-2</v>
      </c>
      <c r="T268" s="18">
        <f t="shared" si="10"/>
        <v>6.6666666666666652E-2</v>
      </c>
      <c r="U268" s="18">
        <f t="shared" si="10"/>
        <v>0.25</v>
      </c>
      <c r="V268" s="18">
        <f t="shared" si="10"/>
        <v>0.23333333333333331</v>
      </c>
      <c r="W268" s="18">
        <f t="shared" si="10"/>
        <v>0</v>
      </c>
      <c r="X268" s="18">
        <f t="shared" si="10"/>
        <v>0.34999999999999992</v>
      </c>
    </row>
    <row r="269" spans="1:38">
      <c r="R269" t="str">
        <f>R267</f>
        <v>Scotland</v>
      </c>
      <c r="S269" s="18">
        <f t="shared" ref="S269:X269" si="11">S267/$Y$267</f>
        <v>8.8904203997243261E-2</v>
      </c>
      <c r="T269" s="18">
        <f t="shared" si="11"/>
        <v>5.3756030323914523E-2</v>
      </c>
      <c r="U269" s="18">
        <f t="shared" si="11"/>
        <v>0.36871123363197783</v>
      </c>
      <c r="V269" s="18">
        <f t="shared" si="11"/>
        <v>0.26946933149552027</v>
      </c>
      <c r="W269" s="18">
        <f t="shared" si="11"/>
        <v>1.24052377670572E-2</v>
      </c>
      <c r="X269" s="18">
        <f t="shared" si="11"/>
        <v>0.2067539627842867</v>
      </c>
    </row>
  </sheetData>
  <sheetProtection selectLockedCells="1"/>
  <sortState ref="J98:P130">
    <sortCondition descending="1" ref="N98:N130"/>
  </sortState>
  <mergeCells count="11">
    <mergeCell ref="B227:H227"/>
    <mergeCell ref="I227:O227"/>
    <mergeCell ref="E96:G96"/>
    <mergeCell ref="B96:D96"/>
    <mergeCell ref="B179:G179"/>
    <mergeCell ref="H179:M179"/>
    <mergeCell ref="T57:AB57"/>
    <mergeCell ref="B12:H12"/>
    <mergeCell ref="I12:N12"/>
    <mergeCell ref="K57:S57"/>
    <mergeCell ref="B57:J57"/>
  </mergeCells>
  <phoneticPr fontId="5" type="noConversion"/>
  <hyperlinks>
    <hyperlink ref="A49" r:id="rId1"/>
  </hyperlinks>
  <pageMargins left="0.75" right="0.75" top="1" bottom="1" header="0.5" footer="0.5"/>
  <pageSetup paperSize="9" orientation="landscape"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K47"/>
  <sheetViews>
    <sheetView topLeftCell="C1" zoomScale="85" zoomScaleNormal="70" workbookViewId="0">
      <selection activeCell="AI5" sqref="AI5"/>
    </sheetView>
  </sheetViews>
  <sheetFormatPr defaultRowHeight="12.75"/>
  <cols>
    <col min="1" max="1" width="18" customWidth="1"/>
    <col min="2" max="3" width="9.28515625" bestFit="1" customWidth="1"/>
    <col min="4" max="4" width="7.7109375" bestFit="1" customWidth="1"/>
    <col min="5" max="6" width="9.28515625" bestFit="1" customWidth="1"/>
    <col min="7" max="7" width="7.7109375" bestFit="1" customWidth="1"/>
    <col min="8" max="9" width="9.28515625" bestFit="1" customWidth="1"/>
    <col min="10" max="10" width="7.7109375" bestFit="1" customWidth="1"/>
    <col min="11" max="12" width="9.28515625" bestFit="1" customWidth="1"/>
    <col min="13" max="13" width="7.7109375" bestFit="1" customWidth="1"/>
    <col min="14" max="15" width="9.28515625" bestFit="1" customWidth="1"/>
    <col min="16" max="16" width="7.7109375" bestFit="1" customWidth="1"/>
    <col min="17" max="18" width="9.28515625" bestFit="1" customWidth="1"/>
    <col min="19" max="19" width="7.7109375" bestFit="1" customWidth="1"/>
    <col min="20" max="21" width="9.28515625" bestFit="1" customWidth="1"/>
    <col min="22" max="22" width="7.7109375" bestFit="1" customWidth="1"/>
    <col min="23" max="24" width="9.28515625" bestFit="1" customWidth="1"/>
    <col min="25" max="25" width="7.7109375" bestFit="1" customWidth="1"/>
    <col min="26" max="27" width="9.28515625" bestFit="1" customWidth="1"/>
    <col min="28" max="28" width="7.7109375" bestFit="1" customWidth="1"/>
    <col min="29" max="30" width="9.28515625" bestFit="1" customWidth="1"/>
    <col min="31" max="31" width="7.7109375" bestFit="1" customWidth="1"/>
    <col min="32" max="33" width="9.28515625" bestFit="1" customWidth="1"/>
    <col min="34" max="34" width="7.7109375" bestFit="1" customWidth="1"/>
  </cols>
  <sheetData>
    <row r="1" spans="1:37">
      <c r="A1" s="1" t="s">
        <v>378</v>
      </c>
    </row>
    <row r="2" spans="1:37" ht="13.5" thickBot="1"/>
    <row r="3" spans="1:37" ht="13.5" thickBot="1">
      <c r="A3" s="767" t="s">
        <v>26</v>
      </c>
      <c r="B3" s="769">
        <v>2003</v>
      </c>
      <c r="C3" s="770"/>
      <c r="D3" s="770"/>
      <c r="E3" s="770">
        <v>2004</v>
      </c>
      <c r="F3" s="770"/>
      <c r="G3" s="770"/>
      <c r="H3" s="770">
        <v>2005</v>
      </c>
      <c r="I3" s="770"/>
      <c r="J3" s="770"/>
      <c r="K3" s="770">
        <v>2006</v>
      </c>
      <c r="L3" s="770"/>
      <c r="M3" s="770"/>
      <c r="N3" s="770">
        <v>2007</v>
      </c>
      <c r="O3" s="770"/>
      <c r="P3" s="770"/>
      <c r="Q3" s="770">
        <v>2008</v>
      </c>
      <c r="R3" s="770"/>
      <c r="S3" s="770"/>
      <c r="T3" s="770">
        <v>2009</v>
      </c>
      <c r="U3" s="770"/>
      <c r="V3" s="771"/>
      <c r="W3" s="770">
        <v>2010</v>
      </c>
      <c r="X3" s="770"/>
      <c r="Y3" s="771"/>
      <c r="Z3" s="755">
        <v>2011</v>
      </c>
      <c r="AA3" s="756"/>
      <c r="AB3" s="757"/>
      <c r="AC3" s="755">
        <v>2012</v>
      </c>
      <c r="AD3" s="756"/>
      <c r="AE3" s="757"/>
      <c r="AF3" s="755">
        <v>2013</v>
      </c>
      <c r="AG3" s="756"/>
      <c r="AH3" s="757"/>
      <c r="AI3" s="755">
        <v>2014</v>
      </c>
      <c r="AJ3" s="756"/>
      <c r="AK3" s="757"/>
    </row>
    <row r="4" spans="1:37" ht="13.5" thickBot="1">
      <c r="A4" s="768"/>
      <c r="B4" s="68" t="s">
        <v>90</v>
      </c>
      <c r="C4" s="69" t="s">
        <v>91</v>
      </c>
      <c r="D4" s="70" t="s">
        <v>92</v>
      </c>
      <c r="E4" s="71" t="s">
        <v>90</v>
      </c>
      <c r="F4" s="69" t="s">
        <v>91</v>
      </c>
      <c r="G4" s="70" t="s">
        <v>92</v>
      </c>
      <c r="H4" s="71" t="s">
        <v>90</v>
      </c>
      <c r="I4" s="69" t="s">
        <v>91</v>
      </c>
      <c r="J4" s="70" t="s">
        <v>92</v>
      </c>
      <c r="K4" s="71" t="s">
        <v>90</v>
      </c>
      <c r="L4" s="69" t="s">
        <v>91</v>
      </c>
      <c r="M4" s="70" t="s">
        <v>92</v>
      </c>
      <c r="N4" s="71" t="s">
        <v>90</v>
      </c>
      <c r="O4" s="69" t="s">
        <v>91</v>
      </c>
      <c r="P4" s="70" t="s">
        <v>92</v>
      </c>
      <c r="Q4" s="71" t="s">
        <v>90</v>
      </c>
      <c r="R4" s="69" t="s">
        <v>91</v>
      </c>
      <c r="S4" s="70" t="s">
        <v>92</v>
      </c>
      <c r="T4" s="71" t="s">
        <v>90</v>
      </c>
      <c r="U4" s="69" t="s">
        <v>91</v>
      </c>
      <c r="V4" s="70" t="s">
        <v>92</v>
      </c>
      <c r="W4" s="71" t="s">
        <v>90</v>
      </c>
      <c r="X4" s="69" t="s">
        <v>91</v>
      </c>
      <c r="Y4" s="70" t="s">
        <v>92</v>
      </c>
      <c r="Z4" s="427" t="s">
        <v>90</v>
      </c>
      <c r="AA4" s="435" t="s">
        <v>91</v>
      </c>
      <c r="AB4" s="428" t="s">
        <v>92</v>
      </c>
      <c r="AC4" s="427" t="s">
        <v>90</v>
      </c>
      <c r="AD4" s="435" t="s">
        <v>91</v>
      </c>
      <c r="AE4" s="428" t="s">
        <v>92</v>
      </c>
      <c r="AF4" s="427" t="s">
        <v>90</v>
      </c>
      <c r="AG4" s="435" t="s">
        <v>91</v>
      </c>
      <c r="AH4" s="428" t="s">
        <v>92</v>
      </c>
      <c r="AI4" s="427" t="s">
        <v>90</v>
      </c>
      <c r="AJ4" s="435" t="s">
        <v>91</v>
      </c>
      <c r="AK4" s="428" t="s">
        <v>92</v>
      </c>
    </row>
    <row r="5" spans="1:37">
      <c r="A5" s="72" t="s">
        <v>31</v>
      </c>
      <c r="B5" s="73">
        <v>38093</v>
      </c>
      <c r="C5" s="74">
        <v>137053</v>
      </c>
      <c r="D5" s="75">
        <v>32344</v>
      </c>
      <c r="E5" s="73">
        <v>37651</v>
      </c>
      <c r="F5" s="74">
        <v>135736</v>
      </c>
      <c r="G5" s="75">
        <v>32323</v>
      </c>
      <c r="H5" s="73">
        <v>37678</v>
      </c>
      <c r="I5" s="74">
        <v>135834</v>
      </c>
      <c r="J5" s="75">
        <v>32398</v>
      </c>
      <c r="K5" s="73">
        <v>37259</v>
      </c>
      <c r="L5" s="74">
        <v>137337</v>
      </c>
      <c r="M5" s="75">
        <v>32284</v>
      </c>
      <c r="N5" s="73">
        <v>37490</v>
      </c>
      <c r="O5" s="74">
        <v>139500</v>
      </c>
      <c r="P5" s="75">
        <v>32270</v>
      </c>
      <c r="Q5" s="73">
        <v>37752</v>
      </c>
      <c r="R5" s="74">
        <v>140453</v>
      </c>
      <c r="S5" s="75">
        <v>32195</v>
      </c>
      <c r="T5" s="73">
        <v>38033</v>
      </c>
      <c r="U5" s="74">
        <v>143584</v>
      </c>
      <c r="V5" s="75">
        <v>32193</v>
      </c>
      <c r="W5" s="400">
        <v>38519</v>
      </c>
      <c r="X5" s="401">
        <v>146496</v>
      </c>
      <c r="Y5" s="402">
        <v>32105</v>
      </c>
      <c r="Z5" s="431">
        <v>36561</v>
      </c>
      <c r="AA5" s="436">
        <v>153650</v>
      </c>
      <c r="AB5" s="432">
        <v>32249</v>
      </c>
      <c r="AC5" s="431">
        <v>37258</v>
      </c>
      <c r="AD5" s="436">
        <v>154546</v>
      </c>
      <c r="AE5" s="432">
        <v>33166</v>
      </c>
      <c r="AF5" s="431">
        <v>37374</v>
      </c>
      <c r="AG5" s="436">
        <v>156043</v>
      </c>
      <c r="AH5" s="432">
        <v>33713</v>
      </c>
      <c r="AI5" s="431">
        <v>37590</v>
      </c>
      <c r="AJ5" s="436">
        <v>157139</v>
      </c>
      <c r="AK5" s="432">
        <v>34261</v>
      </c>
    </row>
    <row r="6" spans="1:37">
      <c r="A6" s="76" t="s">
        <v>32</v>
      </c>
      <c r="B6" s="77">
        <v>52920</v>
      </c>
      <c r="C6" s="78">
        <v>141964</v>
      </c>
      <c r="D6" s="79">
        <v>33896</v>
      </c>
      <c r="E6" s="77">
        <v>52859</v>
      </c>
      <c r="F6" s="78">
        <v>143804</v>
      </c>
      <c r="G6" s="79">
        <v>34907</v>
      </c>
      <c r="H6" s="77">
        <v>52588</v>
      </c>
      <c r="I6" s="78">
        <v>145036</v>
      </c>
      <c r="J6" s="79">
        <v>35806</v>
      </c>
      <c r="K6" s="77">
        <v>52636</v>
      </c>
      <c r="L6" s="78">
        <v>147152</v>
      </c>
      <c r="M6" s="79">
        <v>36472</v>
      </c>
      <c r="N6" s="77">
        <v>52708</v>
      </c>
      <c r="O6" s="78">
        <v>149094</v>
      </c>
      <c r="P6" s="79">
        <v>37358</v>
      </c>
      <c r="Q6" s="77">
        <v>52750</v>
      </c>
      <c r="R6" s="78">
        <v>150438</v>
      </c>
      <c r="S6" s="79">
        <v>38272</v>
      </c>
      <c r="T6" s="77">
        <v>52820</v>
      </c>
      <c r="U6" s="78">
        <v>151496</v>
      </c>
      <c r="V6" s="79">
        <v>39194</v>
      </c>
      <c r="W6" s="403">
        <v>52926</v>
      </c>
      <c r="X6" s="404">
        <v>152832</v>
      </c>
      <c r="Y6" s="405">
        <v>40022</v>
      </c>
      <c r="Z6" s="429">
        <v>54109</v>
      </c>
      <c r="AA6" s="437">
        <v>158410</v>
      </c>
      <c r="AB6" s="430">
        <v>41131</v>
      </c>
      <c r="AC6" s="429">
        <v>53981</v>
      </c>
      <c r="AD6" s="437">
        <v>158636</v>
      </c>
      <c r="AE6" s="430">
        <v>42923</v>
      </c>
      <c r="AF6" s="429">
        <v>54244</v>
      </c>
      <c r="AG6" s="437">
        <v>159116</v>
      </c>
      <c r="AH6" s="430">
        <v>44380</v>
      </c>
      <c r="AI6" s="429">
        <v>54748</v>
      </c>
      <c r="AJ6" s="437">
        <v>159964</v>
      </c>
      <c r="AK6" s="430">
        <v>45788</v>
      </c>
    </row>
    <row r="7" spans="1:37">
      <c r="A7" s="76" t="s">
        <v>33</v>
      </c>
      <c r="B7" s="77">
        <v>22782</v>
      </c>
      <c r="C7" s="78">
        <v>64668</v>
      </c>
      <c r="D7" s="79">
        <v>19960</v>
      </c>
      <c r="E7" s="77">
        <v>22843</v>
      </c>
      <c r="F7" s="78">
        <v>65288</v>
      </c>
      <c r="G7" s="79">
        <v>20219</v>
      </c>
      <c r="H7" s="77">
        <v>22754</v>
      </c>
      <c r="I7" s="78">
        <v>65518</v>
      </c>
      <c r="J7" s="79">
        <v>20518</v>
      </c>
      <c r="K7" s="77">
        <v>22800</v>
      </c>
      <c r="L7" s="78">
        <v>65773</v>
      </c>
      <c r="M7" s="79">
        <v>20747</v>
      </c>
      <c r="N7" s="77">
        <v>22725</v>
      </c>
      <c r="O7" s="78">
        <v>66073</v>
      </c>
      <c r="P7" s="79">
        <v>21072</v>
      </c>
      <c r="Q7" s="77">
        <v>22674</v>
      </c>
      <c r="R7" s="78">
        <v>66096</v>
      </c>
      <c r="S7" s="79">
        <v>21540</v>
      </c>
      <c r="T7" s="77">
        <v>22414</v>
      </c>
      <c r="U7" s="78">
        <v>65886</v>
      </c>
      <c r="V7" s="79">
        <v>21950</v>
      </c>
      <c r="W7" s="403">
        <v>22314</v>
      </c>
      <c r="X7" s="404">
        <v>65962</v>
      </c>
      <c r="Y7" s="405">
        <v>22294</v>
      </c>
      <c r="Z7" s="76">
        <v>23134</v>
      </c>
      <c r="AA7" s="78">
        <v>69833</v>
      </c>
      <c r="AB7" s="433">
        <v>23233</v>
      </c>
      <c r="AC7" s="76">
        <v>22790</v>
      </c>
      <c r="AD7" s="78">
        <v>69186</v>
      </c>
      <c r="AE7" s="433">
        <v>24234</v>
      </c>
      <c r="AF7" s="76">
        <v>22595</v>
      </c>
      <c r="AG7" s="78">
        <v>68685</v>
      </c>
      <c r="AH7" s="433">
        <v>24960</v>
      </c>
      <c r="AI7" s="76">
        <v>22511</v>
      </c>
      <c r="AJ7" s="78">
        <v>68516</v>
      </c>
      <c r="AK7" s="433">
        <v>25633</v>
      </c>
    </row>
    <row r="8" spans="1:37">
      <c r="A8" s="76" t="s">
        <v>34</v>
      </c>
      <c r="B8" s="77">
        <v>18804</v>
      </c>
      <c r="C8" s="78">
        <v>55106</v>
      </c>
      <c r="D8" s="79">
        <v>17390</v>
      </c>
      <c r="E8" s="77">
        <v>18661</v>
      </c>
      <c r="F8" s="78">
        <v>54831</v>
      </c>
      <c r="G8" s="79">
        <v>17698</v>
      </c>
      <c r="H8" s="77">
        <v>18393</v>
      </c>
      <c r="I8" s="78">
        <v>54527</v>
      </c>
      <c r="J8" s="79">
        <v>17950</v>
      </c>
      <c r="K8" s="77">
        <v>18067</v>
      </c>
      <c r="L8" s="78">
        <v>55126</v>
      </c>
      <c r="M8" s="79">
        <v>18197</v>
      </c>
      <c r="N8" s="77">
        <v>17740</v>
      </c>
      <c r="O8" s="78">
        <v>55106</v>
      </c>
      <c r="P8" s="79">
        <v>18504</v>
      </c>
      <c r="Q8" s="77">
        <v>17257</v>
      </c>
      <c r="R8" s="78">
        <v>54486</v>
      </c>
      <c r="S8" s="79">
        <v>18757</v>
      </c>
      <c r="T8" s="77">
        <v>16899</v>
      </c>
      <c r="U8" s="78">
        <v>54087</v>
      </c>
      <c r="V8" s="79">
        <v>19054</v>
      </c>
      <c r="W8" s="403">
        <v>16537</v>
      </c>
      <c r="X8" s="404">
        <v>53311</v>
      </c>
      <c r="Y8" s="405">
        <v>19352</v>
      </c>
      <c r="Z8" s="429">
        <v>16563</v>
      </c>
      <c r="AA8" s="437">
        <v>52880</v>
      </c>
      <c r="AB8" s="430">
        <v>19487</v>
      </c>
      <c r="AC8" s="429">
        <v>16155</v>
      </c>
      <c r="AD8" s="437">
        <v>50590</v>
      </c>
      <c r="AE8" s="430">
        <v>20155</v>
      </c>
      <c r="AF8" s="429">
        <v>15909</v>
      </c>
      <c r="AG8" s="437">
        <v>51521</v>
      </c>
      <c r="AH8" s="430">
        <v>20620</v>
      </c>
      <c r="AI8" s="429">
        <v>15625</v>
      </c>
      <c r="AJ8" s="437">
        <v>50923</v>
      </c>
      <c r="AK8" s="430">
        <v>21112</v>
      </c>
    </row>
    <row r="9" spans="1:37">
      <c r="A9" s="76" t="s">
        <v>35</v>
      </c>
      <c r="B9" s="77">
        <v>10870</v>
      </c>
      <c r="C9" s="78">
        <v>29618</v>
      </c>
      <c r="D9" s="79">
        <v>7192</v>
      </c>
      <c r="E9" s="77">
        <v>10833</v>
      </c>
      <c r="F9" s="78">
        <v>30095</v>
      </c>
      <c r="G9" s="79">
        <v>7312</v>
      </c>
      <c r="H9" s="77">
        <v>10817</v>
      </c>
      <c r="I9" s="78">
        <v>30432</v>
      </c>
      <c r="J9" s="79">
        <v>7381</v>
      </c>
      <c r="K9" s="77">
        <v>10773</v>
      </c>
      <c r="L9" s="78">
        <v>30704</v>
      </c>
      <c r="M9" s="79">
        <v>7423</v>
      </c>
      <c r="N9" s="77">
        <v>10906</v>
      </c>
      <c r="O9" s="78">
        <v>31427</v>
      </c>
      <c r="P9" s="79">
        <v>7567</v>
      </c>
      <c r="Q9" s="77">
        <v>11009</v>
      </c>
      <c r="R9" s="78">
        <v>31750</v>
      </c>
      <c r="S9" s="79">
        <v>7721</v>
      </c>
      <c r="T9" s="77">
        <v>10931</v>
      </c>
      <c r="U9" s="78">
        <v>31735</v>
      </c>
      <c r="V9" s="79">
        <v>7874</v>
      </c>
      <c r="W9" s="403">
        <v>10811</v>
      </c>
      <c r="X9" s="404">
        <v>31728</v>
      </c>
      <c r="Y9" s="405">
        <v>8091</v>
      </c>
      <c r="Z9" s="76">
        <v>10655</v>
      </c>
      <c r="AA9" s="78">
        <v>32531</v>
      </c>
      <c r="AB9" s="433">
        <v>8314</v>
      </c>
      <c r="AC9" s="76">
        <v>10475</v>
      </c>
      <c r="AD9" s="78">
        <v>32074</v>
      </c>
      <c r="AE9" s="433">
        <v>8731</v>
      </c>
      <c r="AF9" s="76">
        <v>10423</v>
      </c>
      <c r="AG9" s="78">
        <v>31838</v>
      </c>
      <c r="AH9" s="433">
        <v>9019</v>
      </c>
      <c r="AI9" s="76">
        <v>10304</v>
      </c>
      <c r="AJ9" s="78">
        <v>31557</v>
      </c>
      <c r="AK9" s="433">
        <v>9329</v>
      </c>
    </row>
    <row r="10" spans="1:37">
      <c r="A10" s="76" t="s">
        <v>36</v>
      </c>
      <c r="B10" s="77">
        <v>30428</v>
      </c>
      <c r="C10" s="78">
        <v>87407</v>
      </c>
      <c r="D10" s="79">
        <v>29375</v>
      </c>
      <c r="E10" s="77">
        <v>30155</v>
      </c>
      <c r="F10" s="78">
        <v>87936</v>
      </c>
      <c r="G10" s="79">
        <v>29839</v>
      </c>
      <c r="H10" s="77">
        <v>29772</v>
      </c>
      <c r="I10" s="78">
        <v>88272</v>
      </c>
      <c r="J10" s="79">
        <v>30296</v>
      </c>
      <c r="K10" s="77">
        <v>29355</v>
      </c>
      <c r="L10" s="78">
        <v>88131</v>
      </c>
      <c r="M10" s="79">
        <v>30544</v>
      </c>
      <c r="N10" s="77">
        <v>29153</v>
      </c>
      <c r="O10" s="78">
        <v>88059</v>
      </c>
      <c r="P10" s="79">
        <v>31088</v>
      </c>
      <c r="Q10" s="77">
        <v>28918</v>
      </c>
      <c r="R10" s="78">
        <v>87901</v>
      </c>
      <c r="S10" s="79">
        <v>31761</v>
      </c>
      <c r="T10" s="77">
        <v>28558</v>
      </c>
      <c r="U10" s="78">
        <v>87561</v>
      </c>
      <c r="V10" s="79">
        <v>32391</v>
      </c>
      <c r="W10" s="403">
        <v>28153</v>
      </c>
      <c r="X10" s="404">
        <v>87188</v>
      </c>
      <c r="Y10" s="405">
        <v>32849</v>
      </c>
      <c r="Z10" s="429">
        <v>28907</v>
      </c>
      <c r="AA10" s="437">
        <v>89199</v>
      </c>
      <c r="AB10" s="430">
        <v>33304</v>
      </c>
      <c r="AC10" s="429">
        <v>28255</v>
      </c>
      <c r="AD10" s="437">
        <v>88237</v>
      </c>
      <c r="AE10" s="430">
        <v>34338</v>
      </c>
      <c r="AF10" s="429">
        <v>27737</v>
      </c>
      <c r="AG10" s="437">
        <v>87503</v>
      </c>
      <c r="AH10" s="430">
        <v>35030</v>
      </c>
      <c r="AI10" s="429">
        <v>27335</v>
      </c>
      <c r="AJ10" s="437">
        <v>86840</v>
      </c>
      <c r="AK10" s="430">
        <v>35765</v>
      </c>
    </row>
    <row r="11" spans="1:37">
      <c r="A11" s="76" t="s">
        <v>37</v>
      </c>
      <c r="B11" s="77">
        <v>28525</v>
      </c>
      <c r="C11" s="78">
        <v>88929</v>
      </c>
      <c r="D11" s="79">
        <v>25796</v>
      </c>
      <c r="E11" s="77">
        <v>27935</v>
      </c>
      <c r="F11" s="78">
        <v>88492</v>
      </c>
      <c r="G11" s="79">
        <v>25743</v>
      </c>
      <c r="H11" s="77">
        <v>27704</v>
      </c>
      <c r="I11" s="78">
        <v>88996</v>
      </c>
      <c r="J11" s="79">
        <v>25660</v>
      </c>
      <c r="K11" s="77">
        <v>27261</v>
      </c>
      <c r="L11" s="78">
        <v>89297</v>
      </c>
      <c r="M11" s="79">
        <v>25612</v>
      </c>
      <c r="N11" s="77">
        <v>27154</v>
      </c>
      <c r="O11" s="78">
        <v>89307</v>
      </c>
      <c r="P11" s="79">
        <v>25689</v>
      </c>
      <c r="Q11" s="77">
        <v>27227</v>
      </c>
      <c r="R11" s="78">
        <v>89590</v>
      </c>
      <c r="S11" s="79">
        <v>25653</v>
      </c>
      <c r="T11" s="77">
        <v>27255</v>
      </c>
      <c r="U11" s="78">
        <v>90537</v>
      </c>
      <c r="V11" s="79">
        <v>25598</v>
      </c>
      <c r="W11" s="403">
        <v>27287</v>
      </c>
      <c r="X11" s="404">
        <v>91352</v>
      </c>
      <c r="Y11" s="405">
        <v>25651</v>
      </c>
      <c r="Z11" s="76">
        <v>26854</v>
      </c>
      <c r="AA11" s="78">
        <v>95688</v>
      </c>
      <c r="AB11" s="433">
        <v>24658</v>
      </c>
      <c r="AC11" s="76">
        <v>27089</v>
      </c>
      <c r="AD11" s="78">
        <v>95568</v>
      </c>
      <c r="AE11" s="433">
        <v>25143</v>
      </c>
      <c r="AF11" s="76">
        <v>27205</v>
      </c>
      <c r="AG11" s="78">
        <v>95522</v>
      </c>
      <c r="AH11" s="433">
        <v>25443</v>
      </c>
      <c r="AI11" s="76">
        <v>27149</v>
      </c>
      <c r="AJ11" s="78">
        <v>95315</v>
      </c>
      <c r="AK11" s="433">
        <v>25796</v>
      </c>
    </row>
    <row r="12" spans="1:37">
      <c r="A12" s="76" t="s">
        <v>38</v>
      </c>
      <c r="B12" s="77">
        <v>26334</v>
      </c>
      <c r="C12" s="78">
        <v>73621</v>
      </c>
      <c r="D12" s="79">
        <v>19575</v>
      </c>
      <c r="E12" s="77">
        <v>26152</v>
      </c>
      <c r="F12" s="78">
        <v>73892</v>
      </c>
      <c r="G12" s="79">
        <v>19676</v>
      </c>
      <c r="H12" s="77">
        <v>25689</v>
      </c>
      <c r="I12" s="78">
        <v>73902</v>
      </c>
      <c r="J12" s="79">
        <v>19809</v>
      </c>
      <c r="K12" s="77">
        <v>25290</v>
      </c>
      <c r="L12" s="78">
        <v>73988</v>
      </c>
      <c r="M12" s="79">
        <v>20012</v>
      </c>
      <c r="N12" s="77">
        <v>25023</v>
      </c>
      <c r="O12" s="78">
        <v>74354</v>
      </c>
      <c r="P12" s="79">
        <v>20193</v>
      </c>
      <c r="Q12" s="77">
        <v>24821</v>
      </c>
      <c r="R12" s="78">
        <v>74670</v>
      </c>
      <c r="S12" s="79">
        <v>20429</v>
      </c>
      <c r="T12" s="77">
        <v>24618</v>
      </c>
      <c r="U12" s="78">
        <v>74822</v>
      </c>
      <c r="V12" s="79">
        <v>20770</v>
      </c>
      <c r="W12" s="403">
        <v>24309</v>
      </c>
      <c r="X12" s="404">
        <v>74774</v>
      </c>
      <c r="Y12" s="405">
        <v>21157</v>
      </c>
      <c r="Z12" s="429">
        <v>24678</v>
      </c>
      <c r="AA12" s="437">
        <v>76584</v>
      </c>
      <c r="AB12" s="430">
        <v>21428</v>
      </c>
      <c r="AC12" s="429">
        <v>24506</v>
      </c>
      <c r="AD12" s="437">
        <v>75972</v>
      </c>
      <c r="AE12" s="430">
        <v>22242</v>
      </c>
      <c r="AF12" s="429">
        <v>24281</v>
      </c>
      <c r="AG12" s="437">
        <v>75362</v>
      </c>
      <c r="AH12" s="430">
        <v>22797</v>
      </c>
      <c r="AI12" s="429">
        <v>24090</v>
      </c>
      <c r="AJ12" s="437">
        <v>74855</v>
      </c>
      <c r="AK12" s="430">
        <v>23205</v>
      </c>
    </row>
    <row r="13" spans="1:37">
      <c r="A13" s="76" t="s">
        <v>39</v>
      </c>
      <c r="B13" s="77">
        <v>24027</v>
      </c>
      <c r="C13" s="78">
        <v>65192</v>
      </c>
      <c r="D13" s="79">
        <v>17751</v>
      </c>
      <c r="E13" s="77">
        <v>23676</v>
      </c>
      <c r="F13" s="78">
        <v>64851</v>
      </c>
      <c r="G13" s="79">
        <v>18023</v>
      </c>
      <c r="H13" s="77">
        <v>23248</v>
      </c>
      <c r="I13" s="78">
        <v>64410</v>
      </c>
      <c r="J13" s="79">
        <v>18302</v>
      </c>
      <c r="K13" s="77">
        <v>22941</v>
      </c>
      <c r="L13" s="78">
        <v>64017</v>
      </c>
      <c r="M13" s="79">
        <v>18502</v>
      </c>
      <c r="N13" s="77">
        <v>22519</v>
      </c>
      <c r="O13" s="78">
        <v>63638</v>
      </c>
      <c r="P13" s="79">
        <v>18693</v>
      </c>
      <c r="Q13" s="77">
        <v>22255</v>
      </c>
      <c r="R13" s="78">
        <v>63447</v>
      </c>
      <c r="S13" s="79">
        <v>19018</v>
      </c>
      <c r="T13" s="77">
        <v>21844</v>
      </c>
      <c r="U13" s="78">
        <v>63412</v>
      </c>
      <c r="V13" s="79">
        <v>19424</v>
      </c>
      <c r="W13" s="403">
        <v>21512</v>
      </c>
      <c r="X13" s="404">
        <v>63246</v>
      </c>
      <c r="Y13" s="405">
        <v>19822</v>
      </c>
      <c r="Z13" s="76">
        <v>21451</v>
      </c>
      <c r="AA13" s="78">
        <v>62930</v>
      </c>
      <c r="AB13" s="433">
        <v>20619</v>
      </c>
      <c r="AC13" s="76">
        <v>21255</v>
      </c>
      <c r="AD13" s="78">
        <v>63165</v>
      </c>
      <c r="AE13" s="433">
        <v>21460</v>
      </c>
      <c r="AF13" s="76">
        <v>20987</v>
      </c>
      <c r="AG13" s="78">
        <v>62869</v>
      </c>
      <c r="AH13" s="433">
        <v>22004</v>
      </c>
      <c r="AI13" s="76">
        <v>21047</v>
      </c>
      <c r="AJ13" s="78">
        <v>63059</v>
      </c>
      <c r="AK13" s="433">
        <v>22624</v>
      </c>
    </row>
    <row r="14" spans="1:37">
      <c r="A14" s="76" t="s">
        <v>40</v>
      </c>
      <c r="B14" s="77">
        <v>20810</v>
      </c>
      <c r="C14" s="78">
        <v>54303</v>
      </c>
      <c r="D14" s="79">
        <v>15977</v>
      </c>
      <c r="E14" s="77">
        <v>20868</v>
      </c>
      <c r="F14" s="78">
        <v>54618</v>
      </c>
      <c r="G14" s="79">
        <v>16094</v>
      </c>
      <c r="H14" s="77">
        <v>20717</v>
      </c>
      <c r="I14" s="78">
        <v>54874</v>
      </c>
      <c r="J14" s="79">
        <v>16209</v>
      </c>
      <c r="K14" s="77">
        <v>20878</v>
      </c>
      <c r="L14" s="78">
        <v>55492</v>
      </c>
      <c r="M14" s="79">
        <v>16460</v>
      </c>
      <c r="N14" s="77">
        <v>21239</v>
      </c>
      <c r="O14" s="78">
        <v>56537</v>
      </c>
      <c r="P14" s="79">
        <v>16664</v>
      </c>
      <c r="Q14" s="77">
        <v>21440</v>
      </c>
      <c r="R14" s="78">
        <v>57756</v>
      </c>
      <c r="S14" s="79">
        <v>16904</v>
      </c>
      <c r="T14" s="77">
        <v>21490</v>
      </c>
      <c r="U14" s="78">
        <v>58073</v>
      </c>
      <c r="V14" s="79">
        <v>17267</v>
      </c>
      <c r="W14" s="403">
        <v>21348</v>
      </c>
      <c r="X14" s="404">
        <v>58620</v>
      </c>
      <c r="Y14" s="405">
        <v>17532</v>
      </c>
      <c r="Z14" s="429">
        <v>21264</v>
      </c>
      <c r="AA14" s="437">
        <v>60745</v>
      </c>
      <c r="AB14" s="430">
        <v>17911</v>
      </c>
      <c r="AC14" s="429">
        <v>21290</v>
      </c>
      <c r="AD14" s="437">
        <v>60995</v>
      </c>
      <c r="AE14" s="430">
        <v>18565</v>
      </c>
      <c r="AF14" s="429">
        <v>21240</v>
      </c>
      <c r="AG14" s="437">
        <v>61020</v>
      </c>
      <c r="AH14" s="430">
        <v>19100</v>
      </c>
      <c r="AI14" s="429">
        <v>21279</v>
      </c>
      <c r="AJ14" s="437">
        <v>61275</v>
      </c>
      <c r="AK14" s="430">
        <v>19496</v>
      </c>
    </row>
    <row r="15" spans="1:37">
      <c r="A15" s="76" t="s">
        <v>41</v>
      </c>
      <c r="B15" s="77">
        <v>21319</v>
      </c>
      <c r="C15" s="78">
        <v>53694</v>
      </c>
      <c r="D15" s="79">
        <v>14667</v>
      </c>
      <c r="E15" s="77">
        <v>21159</v>
      </c>
      <c r="F15" s="78">
        <v>53628</v>
      </c>
      <c r="G15" s="79">
        <v>14823</v>
      </c>
      <c r="H15" s="77">
        <v>21032</v>
      </c>
      <c r="I15" s="78">
        <v>53579</v>
      </c>
      <c r="J15" s="79">
        <v>14989</v>
      </c>
      <c r="K15" s="77">
        <v>20862</v>
      </c>
      <c r="L15" s="78">
        <v>53181</v>
      </c>
      <c r="M15" s="79">
        <v>15247</v>
      </c>
      <c r="N15" s="77">
        <v>20565</v>
      </c>
      <c r="O15" s="78">
        <v>53339</v>
      </c>
      <c r="P15" s="79">
        <v>15356</v>
      </c>
      <c r="Q15" s="77">
        <v>20391</v>
      </c>
      <c r="R15" s="78">
        <v>53246</v>
      </c>
      <c r="S15" s="79">
        <v>15583</v>
      </c>
      <c r="T15" s="77">
        <v>20296</v>
      </c>
      <c r="U15" s="78">
        <v>53058</v>
      </c>
      <c r="V15" s="79">
        <v>15886</v>
      </c>
      <c r="W15" s="403">
        <v>20231</v>
      </c>
      <c r="X15" s="404">
        <v>53210</v>
      </c>
      <c r="Y15" s="405">
        <v>16099</v>
      </c>
      <c r="Z15" s="76">
        <v>20493</v>
      </c>
      <c r="AA15" s="78">
        <v>53955</v>
      </c>
      <c r="AB15" s="433">
        <v>16362</v>
      </c>
      <c r="AC15" s="76">
        <v>20314</v>
      </c>
      <c r="AD15" s="78">
        <v>53810</v>
      </c>
      <c r="AE15" s="433">
        <v>16906</v>
      </c>
      <c r="AF15" s="76">
        <v>20470</v>
      </c>
      <c r="AG15" s="78">
        <v>53766</v>
      </c>
      <c r="AH15" s="433">
        <v>17264</v>
      </c>
      <c r="AI15" s="76">
        <v>20733</v>
      </c>
      <c r="AJ15" s="78">
        <v>53958</v>
      </c>
      <c r="AK15" s="433">
        <v>17689</v>
      </c>
    </row>
    <row r="16" spans="1:37">
      <c r="A16" s="76" t="s">
        <v>140</v>
      </c>
      <c r="B16" s="77">
        <v>80783</v>
      </c>
      <c r="C16" s="78">
        <v>298583</v>
      </c>
      <c r="D16" s="79">
        <v>69004</v>
      </c>
      <c r="E16" s="77">
        <v>80588</v>
      </c>
      <c r="F16" s="78">
        <v>304179</v>
      </c>
      <c r="G16" s="79">
        <v>68903</v>
      </c>
      <c r="H16" s="77">
        <v>80558</v>
      </c>
      <c r="I16" s="78">
        <v>308625</v>
      </c>
      <c r="J16" s="79">
        <v>68647</v>
      </c>
      <c r="K16" s="77">
        <v>80129</v>
      </c>
      <c r="L16" s="78">
        <v>314982</v>
      </c>
      <c r="M16" s="79">
        <v>68399</v>
      </c>
      <c r="N16" s="77">
        <v>80166</v>
      </c>
      <c r="O16" s="78">
        <v>319532</v>
      </c>
      <c r="P16" s="79">
        <v>68372</v>
      </c>
      <c r="Q16" s="77">
        <v>80547</v>
      </c>
      <c r="R16" s="78">
        <v>322493</v>
      </c>
      <c r="S16" s="79">
        <v>68610</v>
      </c>
      <c r="T16" s="77">
        <v>81361</v>
      </c>
      <c r="U16" s="78">
        <v>327335</v>
      </c>
      <c r="V16" s="79">
        <v>68964</v>
      </c>
      <c r="W16" s="403">
        <v>82163</v>
      </c>
      <c r="X16" s="404">
        <v>334564</v>
      </c>
      <c r="Y16" s="405">
        <v>69393</v>
      </c>
      <c r="Z16" s="429">
        <v>81559</v>
      </c>
      <c r="AA16" s="437">
        <v>327551</v>
      </c>
      <c r="AB16" s="430">
        <v>68830</v>
      </c>
      <c r="AC16" s="429">
        <v>82869</v>
      </c>
      <c r="AD16" s="437">
        <v>328883</v>
      </c>
      <c r="AE16" s="430">
        <v>70888</v>
      </c>
      <c r="AF16" s="429">
        <v>83838</v>
      </c>
      <c r="AG16" s="437">
        <v>331426</v>
      </c>
      <c r="AH16" s="430">
        <v>72236</v>
      </c>
      <c r="AI16" s="429">
        <v>84575</v>
      </c>
      <c r="AJ16" s="437">
        <v>334296</v>
      </c>
      <c r="AK16" s="430">
        <v>73809</v>
      </c>
    </row>
    <row r="17" spans="1:37">
      <c r="A17" s="76" t="s">
        <v>42</v>
      </c>
      <c r="B17" s="77">
        <v>5517</v>
      </c>
      <c r="C17" s="78">
        <v>15319</v>
      </c>
      <c r="D17" s="79">
        <v>5264</v>
      </c>
      <c r="E17" s="77">
        <v>5511</v>
      </c>
      <c r="F17" s="78">
        <v>15470</v>
      </c>
      <c r="G17" s="79">
        <v>5279</v>
      </c>
      <c r="H17" s="77">
        <v>5462</v>
      </c>
      <c r="I17" s="78">
        <v>15558</v>
      </c>
      <c r="J17" s="79">
        <v>5350</v>
      </c>
      <c r="K17" s="77">
        <v>5359</v>
      </c>
      <c r="L17" s="78">
        <v>15581</v>
      </c>
      <c r="M17" s="79">
        <v>5410</v>
      </c>
      <c r="N17" s="77">
        <v>5305</v>
      </c>
      <c r="O17" s="78">
        <v>15557</v>
      </c>
      <c r="P17" s="79">
        <v>5438</v>
      </c>
      <c r="Q17" s="77">
        <v>5204</v>
      </c>
      <c r="R17" s="78">
        <v>15464</v>
      </c>
      <c r="S17" s="79">
        <v>5532</v>
      </c>
      <c r="T17" s="77">
        <v>5162</v>
      </c>
      <c r="U17" s="78">
        <v>15402</v>
      </c>
      <c r="V17" s="79">
        <v>5616</v>
      </c>
      <c r="W17" s="403">
        <v>5078</v>
      </c>
      <c r="X17" s="404">
        <v>15445</v>
      </c>
      <c r="Y17" s="405">
        <v>5667</v>
      </c>
      <c r="Z17" s="76">
        <v>5330</v>
      </c>
      <c r="AA17" s="78">
        <v>16339</v>
      </c>
      <c r="AB17" s="433">
        <v>6021</v>
      </c>
      <c r="AC17" s="76">
        <v>5225</v>
      </c>
      <c r="AD17" s="78">
        <v>16159</v>
      </c>
      <c r="AE17" s="433">
        <v>6176</v>
      </c>
      <c r="AF17" s="76">
        <v>5136</v>
      </c>
      <c r="AG17" s="78">
        <v>15998</v>
      </c>
      <c r="AH17" s="433">
        <v>6266</v>
      </c>
      <c r="AI17" s="76">
        <v>5035</v>
      </c>
      <c r="AJ17" s="78">
        <v>15769</v>
      </c>
      <c r="AK17" s="433">
        <v>6446</v>
      </c>
    </row>
    <row r="18" spans="1:37">
      <c r="A18" s="76" t="s">
        <v>43</v>
      </c>
      <c r="B18" s="77">
        <v>31593</v>
      </c>
      <c r="C18" s="78">
        <v>91517</v>
      </c>
      <c r="D18" s="79">
        <v>22810</v>
      </c>
      <c r="E18" s="77">
        <v>31819</v>
      </c>
      <c r="F18" s="78">
        <v>92455</v>
      </c>
      <c r="G18" s="79">
        <v>23186</v>
      </c>
      <c r="H18" s="77">
        <v>32130</v>
      </c>
      <c r="I18" s="78">
        <v>93626</v>
      </c>
      <c r="J18" s="79">
        <v>23394</v>
      </c>
      <c r="K18" s="77">
        <v>31935</v>
      </c>
      <c r="L18" s="78">
        <v>94128</v>
      </c>
      <c r="M18" s="79">
        <v>23617</v>
      </c>
      <c r="N18" s="77">
        <v>32143</v>
      </c>
      <c r="O18" s="78">
        <v>94736</v>
      </c>
      <c r="P18" s="79">
        <v>23841</v>
      </c>
      <c r="Q18" s="77">
        <v>32238</v>
      </c>
      <c r="R18" s="78">
        <v>95070</v>
      </c>
      <c r="S18" s="79">
        <v>24262</v>
      </c>
      <c r="T18" s="77">
        <v>32078</v>
      </c>
      <c r="U18" s="78">
        <v>95758</v>
      </c>
      <c r="V18" s="79">
        <v>24644</v>
      </c>
      <c r="W18" s="403">
        <v>32189</v>
      </c>
      <c r="X18" s="404">
        <v>95934</v>
      </c>
      <c r="Y18" s="405">
        <v>25157</v>
      </c>
      <c r="Z18" s="429">
        <v>32129</v>
      </c>
      <c r="AA18" s="437">
        <v>98644</v>
      </c>
      <c r="AB18" s="430">
        <v>25477</v>
      </c>
      <c r="AC18" s="429">
        <v>32144</v>
      </c>
      <c r="AD18" s="437">
        <v>98196</v>
      </c>
      <c r="AE18" s="430">
        <v>26460</v>
      </c>
      <c r="AF18" s="429">
        <v>31996</v>
      </c>
      <c r="AG18" s="437">
        <v>97950</v>
      </c>
      <c r="AH18" s="430">
        <v>27194</v>
      </c>
      <c r="AI18" s="429">
        <v>31929</v>
      </c>
      <c r="AJ18" s="437">
        <v>97750</v>
      </c>
      <c r="AK18" s="430">
        <v>27961</v>
      </c>
    </row>
    <row r="19" spans="1:37">
      <c r="A19" s="76" t="s">
        <v>44</v>
      </c>
      <c r="B19" s="77">
        <v>76240</v>
      </c>
      <c r="C19" s="78">
        <v>217747</v>
      </c>
      <c r="D19" s="79">
        <v>58053</v>
      </c>
      <c r="E19" s="77">
        <v>75939</v>
      </c>
      <c r="F19" s="78">
        <v>220011</v>
      </c>
      <c r="G19" s="79">
        <v>58650</v>
      </c>
      <c r="H19" s="77">
        <v>75606</v>
      </c>
      <c r="I19" s="78">
        <v>221906</v>
      </c>
      <c r="J19" s="79">
        <v>59228</v>
      </c>
      <c r="K19" s="77">
        <v>74797</v>
      </c>
      <c r="L19" s="78">
        <v>224293</v>
      </c>
      <c r="M19" s="79">
        <v>59840</v>
      </c>
      <c r="N19" s="77">
        <v>74282</v>
      </c>
      <c r="O19" s="78">
        <v>225567</v>
      </c>
      <c r="P19" s="79">
        <v>60651</v>
      </c>
      <c r="Q19" s="77">
        <v>74228</v>
      </c>
      <c r="R19" s="78">
        <v>225909</v>
      </c>
      <c r="S19" s="79">
        <v>61753</v>
      </c>
      <c r="T19" s="77">
        <v>74012</v>
      </c>
      <c r="U19" s="78">
        <v>226490</v>
      </c>
      <c r="V19" s="79">
        <v>62958</v>
      </c>
      <c r="W19" s="403">
        <v>73750</v>
      </c>
      <c r="X19" s="404">
        <v>227055</v>
      </c>
      <c r="Y19" s="405">
        <v>64215</v>
      </c>
      <c r="Z19" s="76">
        <v>73279</v>
      </c>
      <c r="AA19" s="78">
        <v>227424</v>
      </c>
      <c r="AB19" s="433">
        <v>64597</v>
      </c>
      <c r="AC19" s="76">
        <v>73096</v>
      </c>
      <c r="AD19" s="78">
        <v>225971</v>
      </c>
      <c r="AE19" s="433">
        <v>67153</v>
      </c>
      <c r="AF19" s="76">
        <v>72853</v>
      </c>
      <c r="AG19" s="78">
        <v>225041</v>
      </c>
      <c r="AH19" s="433">
        <v>69016</v>
      </c>
      <c r="AI19" s="76">
        <v>72549</v>
      </c>
      <c r="AJ19" s="78">
        <v>223648</v>
      </c>
      <c r="AK19" s="433">
        <v>71063</v>
      </c>
    </row>
    <row r="20" spans="1:37">
      <c r="A20" s="76" t="s">
        <v>45</v>
      </c>
      <c r="B20" s="77">
        <v>116183</v>
      </c>
      <c r="C20" s="78">
        <v>372645</v>
      </c>
      <c r="D20" s="79">
        <v>88262</v>
      </c>
      <c r="E20" s="77">
        <v>114272</v>
      </c>
      <c r="F20" s="78">
        <v>376342</v>
      </c>
      <c r="G20" s="79">
        <v>87056</v>
      </c>
      <c r="H20" s="77">
        <v>112758</v>
      </c>
      <c r="I20" s="78">
        <v>380283</v>
      </c>
      <c r="J20" s="79">
        <v>85749</v>
      </c>
      <c r="K20" s="77">
        <v>111242</v>
      </c>
      <c r="L20" s="78">
        <v>384979</v>
      </c>
      <c r="M20" s="79">
        <v>84469</v>
      </c>
      <c r="N20" s="77">
        <v>110611</v>
      </c>
      <c r="O20" s="78">
        <v>388075</v>
      </c>
      <c r="P20" s="79">
        <v>83254</v>
      </c>
      <c r="Q20" s="77">
        <v>110234</v>
      </c>
      <c r="R20" s="78">
        <v>391575</v>
      </c>
      <c r="S20" s="79">
        <v>82431</v>
      </c>
      <c r="T20" s="77">
        <v>110399</v>
      </c>
      <c r="U20" s="78">
        <v>396527</v>
      </c>
      <c r="V20" s="79">
        <v>81544</v>
      </c>
      <c r="W20" s="403">
        <v>110124</v>
      </c>
      <c r="X20" s="404">
        <v>401833</v>
      </c>
      <c r="Y20" s="405">
        <v>80863</v>
      </c>
      <c r="Z20" s="429">
        <v>108393</v>
      </c>
      <c r="AA20" s="437">
        <v>402416</v>
      </c>
      <c r="AB20" s="430">
        <v>82251</v>
      </c>
      <c r="AC20" s="429">
        <v>108722</v>
      </c>
      <c r="AD20" s="437">
        <v>403400</v>
      </c>
      <c r="AE20" s="430">
        <v>82958</v>
      </c>
      <c r="AF20" s="429">
        <v>109131</v>
      </c>
      <c r="AG20" s="437">
        <v>404228</v>
      </c>
      <c r="AH20" s="430">
        <v>83191</v>
      </c>
      <c r="AI20" s="429">
        <v>109246</v>
      </c>
      <c r="AJ20" s="437">
        <v>406871</v>
      </c>
      <c r="AK20" s="430">
        <v>83533</v>
      </c>
    </row>
    <row r="21" spans="1:37">
      <c r="A21" s="76" t="s">
        <v>46</v>
      </c>
      <c r="B21" s="77">
        <v>45093</v>
      </c>
      <c r="C21" s="78">
        <v>128011</v>
      </c>
      <c r="D21" s="79">
        <v>35976</v>
      </c>
      <c r="E21" s="77">
        <v>45131</v>
      </c>
      <c r="F21" s="78">
        <v>129598</v>
      </c>
      <c r="G21" s="79">
        <v>36611</v>
      </c>
      <c r="H21" s="77">
        <v>44906</v>
      </c>
      <c r="I21" s="78">
        <v>131204</v>
      </c>
      <c r="J21" s="79">
        <v>37480</v>
      </c>
      <c r="K21" s="77">
        <v>44790</v>
      </c>
      <c r="L21" s="78">
        <v>132483</v>
      </c>
      <c r="M21" s="79">
        <v>38037</v>
      </c>
      <c r="N21" s="77">
        <v>44713</v>
      </c>
      <c r="O21" s="78">
        <v>133900</v>
      </c>
      <c r="P21" s="79">
        <v>38827</v>
      </c>
      <c r="Q21" s="77">
        <v>44746</v>
      </c>
      <c r="R21" s="78">
        <v>134791</v>
      </c>
      <c r="S21" s="79">
        <v>39863</v>
      </c>
      <c r="T21" s="77">
        <v>44630</v>
      </c>
      <c r="U21" s="78">
        <v>134986</v>
      </c>
      <c r="V21" s="79">
        <v>40874</v>
      </c>
      <c r="W21" s="403">
        <v>44363</v>
      </c>
      <c r="X21" s="404">
        <v>135589</v>
      </c>
      <c r="Y21" s="405">
        <v>41678</v>
      </c>
      <c r="Z21" s="76">
        <v>47135</v>
      </c>
      <c r="AA21" s="78">
        <v>142171</v>
      </c>
      <c r="AB21" s="433">
        <v>43424</v>
      </c>
      <c r="AC21" s="76">
        <v>46421</v>
      </c>
      <c r="AD21" s="78">
        <v>141441</v>
      </c>
      <c r="AE21" s="433">
        <v>45048</v>
      </c>
      <c r="AF21" s="76">
        <v>45955</v>
      </c>
      <c r="AG21" s="78">
        <v>140454</v>
      </c>
      <c r="AH21" s="433">
        <v>46541</v>
      </c>
      <c r="AI21" s="76">
        <v>45484</v>
      </c>
      <c r="AJ21" s="78">
        <v>139601</v>
      </c>
      <c r="AK21" s="433">
        <v>48015</v>
      </c>
    </row>
    <row r="22" spans="1:37">
      <c r="A22" s="76" t="s">
        <v>47</v>
      </c>
      <c r="B22" s="77">
        <v>17849</v>
      </c>
      <c r="C22" s="78">
        <v>51160</v>
      </c>
      <c r="D22" s="79">
        <v>14041</v>
      </c>
      <c r="E22" s="77">
        <v>17486</v>
      </c>
      <c r="F22" s="78">
        <v>50949</v>
      </c>
      <c r="G22" s="79">
        <v>13995</v>
      </c>
      <c r="H22" s="77">
        <v>17297</v>
      </c>
      <c r="I22" s="78">
        <v>50797</v>
      </c>
      <c r="J22" s="79">
        <v>14036</v>
      </c>
      <c r="K22" s="77">
        <v>16868</v>
      </c>
      <c r="L22" s="78">
        <v>50575</v>
      </c>
      <c r="M22" s="79">
        <v>14097</v>
      </c>
      <c r="N22" s="77">
        <v>16590</v>
      </c>
      <c r="O22" s="78">
        <v>50376</v>
      </c>
      <c r="P22" s="79">
        <v>14114</v>
      </c>
      <c r="Q22" s="77">
        <v>16339</v>
      </c>
      <c r="R22" s="78">
        <v>50205</v>
      </c>
      <c r="S22" s="79">
        <v>14236</v>
      </c>
      <c r="T22" s="77">
        <v>16034</v>
      </c>
      <c r="U22" s="78">
        <v>49812</v>
      </c>
      <c r="V22" s="79">
        <v>14364</v>
      </c>
      <c r="W22" s="403">
        <v>15738</v>
      </c>
      <c r="X22" s="404">
        <v>49587</v>
      </c>
      <c r="Y22" s="405">
        <v>14445</v>
      </c>
      <c r="Z22" s="429">
        <v>15660</v>
      </c>
      <c r="AA22" s="437">
        <v>50723</v>
      </c>
      <c r="AB22" s="430">
        <v>14837</v>
      </c>
      <c r="AC22" s="429">
        <v>15383</v>
      </c>
      <c r="AD22" s="437">
        <v>50096</v>
      </c>
      <c r="AE22" s="430">
        <v>15201</v>
      </c>
      <c r="AF22" s="429">
        <v>15221</v>
      </c>
      <c r="AG22" s="437">
        <v>49659</v>
      </c>
      <c r="AH22" s="430">
        <v>15430</v>
      </c>
      <c r="AI22" s="429">
        <v>14982</v>
      </c>
      <c r="AJ22" s="437">
        <v>49187</v>
      </c>
      <c r="AK22" s="430">
        <v>15691</v>
      </c>
    </row>
    <row r="23" spans="1:37">
      <c r="A23" s="76" t="s">
        <v>48</v>
      </c>
      <c r="B23" s="77">
        <v>18414</v>
      </c>
      <c r="C23" s="78">
        <v>49042</v>
      </c>
      <c r="D23" s="79">
        <v>12254</v>
      </c>
      <c r="E23" s="77">
        <v>18142</v>
      </c>
      <c r="F23" s="78">
        <v>49018</v>
      </c>
      <c r="G23" s="79">
        <v>12450</v>
      </c>
      <c r="H23" s="77">
        <v>17864</v>
      </c>
      <c r="I23" s="78">
        <v>48782</v>
      </c>
      <c r="J23" s="79">
        <v>12544</v>
      </c>
      <c r="K23" s="77">
        <v>17725</v>
      </c>
      <c r="L23" s="78">
        <v>48925</v>
      </c>
      <c r="M23" s="79">
        <v>12640</v>
      </c>
      <c r="N23" s="77">
        <v>17641</v>
      </c>
      <c r="O23" s="78">
        <v>49097</v>
      </c>
      <c r="P23" s="79">
        <v>12772</v>
      </c>
      <c r="Q23" s="77">
        <v>17682</v>
      </c>
      <c r="R23" s="78">
        <v>49904</v>
      </c>
      <c r="S23" s="79">
        <v>12974</v>
      </c>
      <c r="T23" s="77">
        <v>17636</v>
      </c>
      <c r="U23" s="78">
        <v>49908</v>
      </c>
      <c r="V23" s="79">
        <v>13266</v>
      </c>
      <c r="W23" s="403">
        <v>17484</v>
      </c>
      <c r="X23" s="404">
        <v>50019</v>
      </c>
      <c r="Y23" s="405">
        <v>13637</v>
      </c>
      <c r="Z23" s="76">
        <v>17774</v>
      </c>
      <c r="AA23" s="78">
        <v>51602</v>
      </c>
      <c r="AB23" s="433">
        <v>14074</v>
      </c>
      <c r="AC23" s="76">
        <v>17942</v>
      </c>
      <c r="AD23" s="78">
        <v>51593</v>
      </c>
      <c r="AE23" s="433">
        <v>14705</v>
      </c>
      <c r="AF23" s="76">
        <v>18059</v>
      </c>
      <c r="AG23" s="78">
        <v>51501</v>
      </c>
      <c r="AH23" s="433">
        <v>15140</v>
      </c>
      <c r="AI23" s="76">
        <v>18417</v>
      </c>
      <c r="AJ23" s="78">
        <v>52180</v>
      </c>
      <c r="AK23" s="433">
        <v>15613</v>
      </c>
    </row>
    <row r="24" spans="1:37">
      <c r="A24" s="76" t="s">
        <v>49</v>
      </c>
      <c r="B24" s="77">
        <v>19286</v>
      </c>
      <c r="C24" s="78">
        <v>53244</v>
      </c>
      <c r="D24" s="79">
        <v>14590</v>
      </c>
      <c r="E24" s="77">
        <v>18996</v>
      </c>
      <c r="F24" s="78">
        <v>52821</v>
      </c>
      <c r="G24" s="79">
        <v>14923</v>
      </c>
      <c r="H24" s="77">
        <v>18582</v>
      </c>
      <c r="I24" s="78">
        <v>52864</v>
      </c>
      <c r="J24" s="79">
        <v>15144</v>
      </c>
      <c r="K24" s="77">
        <v>18359</v>
      </c>
      <c r="L24" s="78">
        <v>53127</v>
      </c>
      <c r="M24" s="79">
        <v>15264</v>
      </c>
      <c r="N24" s="77">
        <v>18163</v>
      </c>
      <c r="O24" s="78">
        <v>53148</v>
      </c>
      <c r="P24" s="79">
        <v>15559</v>
      </c>
      <c r="Q24" s="77">
        <v>18063</v>
      </c>
      <c r="R24" s="78">
        <v>53776</v>
      </c>
      <c r="S24" s="79">
        <v>15931</v>
      </c>
      <c r="T24" s="77">
        <v>18004</v>
      </c>
      <c r="U24" s="78">
        <v>53398</v>
      </c>
      <c r="V24" s="79">
        <v>16258</v>
      </c>
      <c r="W24" s="403">
        <v>17763</v>
      </c>
      <c r="X24" s="404">
        <v>53362</v>
      </c>
      <c r="Y24" s="405">
        <v>16595</v>
      </c>
      <c r="Z24" s="429">
        <v>19471</v>
      </c>
      <c r="AA24" s="437">
        <v>56629</v>
      </c>
      <c r="AB24" s="430">
        <v>17370</v>
      </c>
      <c r="AC24" s="429">
        <v>19148</v>
      </c>
      <c r="AD24" s="437">
        <v>55810</v>
      </c>
      <c r="AE24" s="430">
        <v>17952</v>
      </c>
      <c r="AF24" s="429">
        <v>19115</v>
      </c>
      <c r="AG24" s="437">
        <v>56754</v>
      </c>
      <c r="AH24" s="430">
        <v>18481</v>
      </c>
      <c r="AI24" s="429">
        <v>19047</v>
      </c>
      <c r="AJ24" s="437">
        <v>56703</v>
      </c>
      <c r="AK24" s="430">
        <v>19000</v>
      </c>
    </row>
    <row r="25" spans="1:37">
      <c r="A25" s="76" t="s">
        <v>50</v>
      </c>
      <c r="B25" s="77">
        <v>30264</v>
      </c>
      <c r="C25" s="78">
        <v>83036</v>
      </c>
      <c r="D25" s="79">
        <v>22730</v>
      </c>
      <c r="E25" s="77">
        <v>29902</v>
      </c>
      <c r="F25" s="78">
        <v>83102</v>
      </c>
      <c r="G25" s="79">
        <v>23016</v>
      </c>
      <c r="H25" s="77">
        <v>29412</v>
      </c>
      <c r="I25" s="78">
        <v>83015</v>
      </c>
      <c r="J25" s="79">
        <v>23403</v>
      </c>
      <c r="K25" s="77">
        <v>28913</v>
      </c>
      <c r="L25" s="78">
        <v>82955</v>
      </c>
      <c r="M25" s="79">
        <v>23622</v>
      </c>
      <c r="N25" s="77">
        <v>28660</v>
      </c>
      <c r="O25" s="78">
        <v>83123</v>
      </c>
      <c r="P25" s="79">
        <v>23977</v>
      </c>
      <c r="Q25" s="77">
        <v>28541</v>
      </c>
      <c r="R25" s="78">
        <v>82986</v>
      </c>
      <c r="S25" s="79">
        <v>24393</v>
      </c>
      <c r="T25" s="77">
        <v>28110</v>
      </c>
      <c r="U25" s="78">
        <v>82536</v>
      </c>
      <c r="V25" s="79">
        <v>24864</v>
      </c>
      <c r="W25" s="403">
        <v>27699</v>
      </c>
      <c r="X25" s="404">
        <v>82167</v>
      </c>
      <c r="Y25" s="405">
        <v>25314</v>
      </c>
      <c r="Z25" s="76">
        <v>28081</v>
      </c>
      <c r="AA25" s="78">
        <v>83950</v>
      </c>
      <c r="AB25" s="433">
        <v>26059</v>
      </c>
      <c r="AC25" s="76">
        <v>27693</v>
      </c>
      <c r="AD25" s="78">
        <v>82785</v>
      </c>
      <c r="AE25" s="433">
        <v>27082</v>
      </c>
      <c r="AF25" s="76">
        <v>27119</v>
      </c>
      <c r="AG25" s="78">
        <v>81988</v>
      </c>
      <c r="AH25" s="433">
        <v>27813</v>
      </c>
      <c r="AI25" s="76">
        <v>26745</v>
      </c>
      <c r="AJ25" s="78">
        <v>81215</v>
      </c>
      <c r="AK25" s="433">
        <v>28490</v>
      </c>
    </row>
    <row r="26" spans="1:37">
      <c r="A26" s="76" t="s">
        <v>51</v>
      </c>
      <c r="B26" s="77">
        <v>73254</v>
      </c>
      <c r="C26" s="78">
        <v>203014</v>
      </c>
      <c r="D26" s="79">
        <v>45552</v>
      </c>
      <c r="E26" s="77">
        <v>72827</v>
      </c>
      <c r="F26" s="78">
        <v>203861</v>
      </c>
      <c r="G26" s="79">
        <v>46102</v>
      </c>
      <c r="H26" s="77">
        <v>72472</v>
      </c>
      <c r="I26" s="78">
        <v>204164</v>
      </c>
      <c r="J26" s="79">
        <v>46784</v>
      </c>
      <c r="K26" s="77">
        <v>71999</v>
      </c>
      <c r="L26" s="78">
        <v>204600</v>
      </c>
      <c r="M26" s="79">
        <v>47181</v>
      </c>
      <c r="N26" s="77">
        <v>71967</v>
      </c>
      <c r="O26" s="78">
        <v>205254</v>
      </c>
      <c r="P26" s="79">
        <v>47459</v>
      </c>
      <c r="Q26" s="77">
        <v>71970</v>
      </c>
      <c r="R26" s="78">
        <v>205359</v>
      </c>
      <c r="S26" s="79">
        <v>48191</v>
      </c>
      <c r="T26" s="77">
        <v>71776</v>
      </c>
      <c r="U26" s="78">
        <v>205451</v>
      </c>
      <c r="V26" s="79">
        <v>49093</v>
      </c>
      <c r="W26" s="403">
        <v>71278</v>
      </c>
      <c r="X26" s="404">
        <v>205479</v>
      </c>
      <c r="Y26" s="405">
        <v>49603</v>
      </c>
      <c r="Z26" s="429">
        <v>73136</v>
      </c>
      <c r="AA26" s="437">
        <v>213833</v>
      </c>
      <c r="AB26" s="430">
        <v>50751</v>
      </c>
      <c r="AC26" s="429">
        <v>72775</v>
      </c>
      <c r="AD26" s="437">
        <v>212771</v>
      </c>
      <c r="AE26" s="430">
        <v>52324</v>
      </c>
      <c r="AF26" s="429">
        <v>72459</v>
      </c>
      <c r="AG26" s="437">
        <v>211758</v>
      </c>
      <c r="AH26" s="430">
        <v>53513</v>
      </c>
      <c r="AI26" s="429">
        <v>72030</v>
      </c>
      <c r="AJ26" s="437">
        <v>211128</v>
      </c>
      <c r="AK26" s="430">
        <v>54792</v>
      </c>
    </row>
    <row r="27" spans="1:37">
      <c r="A27" s="76" t="s">
        <v>52</v>
      </c>
      <c r="B27" s="77">
        <v>4216</v>
      </c>
      <c r="C27" s="78">
        <v>11747</v>
      </c>
      <c r="D27" s="79">
        <v>3347</v>
      </c>
      <c r="E27" s="77">
        <v>4230</v>
      </c>
      <c r="F27" s="78">
        <v>11852</v>
      </c>
      <c r="G27" s="79">
        <v>3418</v>
      </c>
      <c r="H27" s="77">
        <v>4178</v>
      </c>
      <c r="I27" s="78">
        <v>11875</v>
      </c>
      <c r="J27" s="79">
        <v>3537</v>
      </c>
      <c r="K27" s="77">
        <v>4139</v>
      </c>
      <c r="L27" s="78">
        <v>12049</v>
      </c>
      <c r="M27" s="79">
        <v>3582</v>
      </c>
      <c r="N27" s="77">
        <v>4100</v>
      </c>
      <c r="O27" s="78">
        <v>12063</v>
      </c>
      <c r="P27" s="79">
        <v>3697</v>
      </c>
      <c r="Q27" s="77">
        <v>4037</v>
      </c>
      <c r="R27" s="78">
        <v>12067</v>
      </c>
      <c r="S27" s="79">
        <v>3786</v>
      </c>
      <c r="T27" s="77">
        <v>3985</v>
      </c>
      <c r="U27" s="78">
        <v>12085</v>
      </c>
      <c r="V27" s="79">
        <v>3890</v>
      </c>
      <c r="W27" s="403">
        <v>3956</v>
      </c>
      <c r="X27" s="404">
        <v>12170</v>
      </c>
      <c r="Y27" s="405">
        <v>3984</v>
      </c>
      <c r="Z27" s="76">
        <v>4166</v>
      </c>
      <c r="AA27" s="78">
        <v>12985</v>
      </c>
      <c r="AB27" s="433">
        <v>4269</v>
      </c>
      <c r="AC27" s="76">
        <v>4126</v>
      </c>
      <c r="AD27" s="78">
        <v>12954</v>
      </c>
      <c r="AE27" s="433">
        <v>4450</v>
      </c>
      <c r="AF27" s="76">
        <v>4063</v>
      </c>
      <c r="AG27" s="78">
        <v>12947</v>
      </c>
      <c r="AH27" s="433">
        <v>4560</v>
      </c>
      <c r="AI27" s="76">
        <v>4011</v>
      </c>
      <c r="AJ27" s="78">
        <v>12862</v>
      </c>
      <c r="AK27" s="433">
        <v>4717</v>
      </c>
    </row>
    <row r="28" spans="1:37">
      <c r="A28" s="76" t="s">
        <v>53</v>
      </c>
      <c r="B28" s="77">
        <v>28707</v>
      </c>
      <c r="C28" s="78">
        <v>81416</v>
      </c>
      <c r="D28" s="79">
        <v>25817</v>
      </c>
      <c r="E28" s="77">
        <v>28838</v>
      </c>
      <c r="F28" s="78">
        <v>82234</v>
      </c>
      <c r="G28" s="79">
        <v>26358</v>
      </c>
      <c r="H28" s="77">
        <v>28645</v>
      </c>
      <c r="I28" s="78">
        <v>83179</v>
      </c>
      <c r="J28" s="79">
        <v>26766</v>
      </c>
      <c r="K28" s="77">
        <v>28446</v>
      </c>
      <c r="L28" s="78">
        <v>84740</v>
      </c>
      <c r="M28" s="79">
        <v>27004</v>
      </c>
      <c r="N28" s="77">
        <v>28486</v>
      </c>
      <c r="O28" s="78">
        <v>86187</v>
      </c>
      <c r="P28" s="79">
        <v>27467</v>
      </c>
      <c r="Q28" s="77">
        <v>28661</v>
      </c>
      <c r="R28" s="78">
        <v>87518</v>
      </c>
      <c r="S28" s="79">
        <v>28001</v>
      </c>
      <c r="T28" s="77">
        <v>28593</v>
      </c>
      <c r="U28" s="78">
        <v>88818</v>
      </c>
      <c r="V28" s="79">
        <v>28499</v>
      </c>
      <c r="W28" s="403">
        <v>28566</v>
      </c>
      <c r="X28" s="404">
        <v>90107</v>
      </c>
      <c r="Y28" s="405">
        <v>29107</v>
      </c>
      <c r="Z28" s="429">
        <v>28747</v>
      </c>
      <c r="AA28" s="437">
        <v>88263</v>
      </c>
      <c r="AB28" s="430">
        <v>29840</v>
      </c>
      <c r="AC28" s="429">
        <v>28542</v>
      </c>
      <c r="AD28" s="437">
        <v>88225</v>
      </c>
      <c r="AE28" s="430">
        <v>30973</v>
      </c>
      <c r="AF28" s="429">
        <v>28306</v>
      </c>
      <c r="AG28" s="437">
        <v>87709</v>
      </c>
      <c r="AH28" s="430">
        <v>31735</v>
      </c>
      <c r="AI28" s="429">
        <v>28159</v>
      </c>
      <c r="AJ28" s="437">
        <v>88205</v>
      </c>
      <c r="AK28" s="430">
        <v>32516</v>
      </c>
    </row>
    <row r="29" spans="1:37">
      <c r="A29" s="76" t="s">
        <v>54</v>
      </c>
      <c r="B29" s="77">
        <v>36677</v>
      </c>
      <c r="C29" s="78">
        <v>107411</v>
      </c>
      <c r="D29" s="79">
        <v>26892</v>
      </c>
      <c r="E29" s="77">
        <v>36300</v>
      </c>
      <c r="F29" s="78">
        <v>107233</v>
      </c>
      <c r="G29" s="79">
        <v>27077</v>
      </c>
      <c r="H29" s="77">
        <v>35859</v>
      </c>
      <c r="I29" s="78">
        <v>106996</v>
      </c>
      <c r="J29" s="79">
        <v>27145</v>
      </c>
      <c r="K29" s="77">
        <v>35446</v>
      </c>
      <c r="L29" s="78">
        <v>106870</v>
      </c>
      <c r="M29" s="79">
        <v>27274</v>
      </c>
      <c r="N29" s="77">
        <v>35270</v>
      </c>
      <c r="O29" s="78">
        <v>106839</v>
      </c>
      <c r="P29" s="79">
        <v>27491</v>
      </c>
      <c r="Q29" s="77">
        <v>35131</v>
      </c>
      <c r="R29" s="78">
        <v>106869</v>
      </c>
      <c r="S29" s="79">
        <v>27800</v>
      </c>
      <c r="T29" s="77">
        <v>34692</v>
      </c>
      <c r="U29" s="78">
        <v>107012</v>
      </c>
      <c r="V29" s="79">
        <v>28206</v>
      </c>
      <c r="W29" s="403">
        <v>34440</v>
      </c>
      <c r="X29" s="404">
        <v>107393</v>
      </c>
      <c r="Y29" s="405">
        <v>28417</v>
      </c>
      <c r="Z29" s="76">
        <v>34721</v>
      </c>
      <c r="AA29" s="78">
        <v>110341</v>
      </c>
      <c r="AB29" s="433">
        <v>29638</v>
      </c>
      <c r="AC29" s="76">
        <v>34425</v>
      </c>
      <c r="AD29" s="78">
        <v>109318</v>
      </c>
      <c r="AE29" s="433">
        <v>30567</v>
      </c>
      <c r="AF29" s="76">
        <v>34267</v>
      </c>
      <c r="AG29" s="78">
        <v>108560</v>
      </c>
      <c r="AH29" s="433">
        <v>31073</v>
      </c>
      <c r="AI29" s="76">
        <v>34082</v>
      </c>
      <c r="AJ29" s="78">
        <v>108397</v>
      </c>
      <c r="AK29" s="433">
        <v>31751</v>
      </c>
    </row>
    <row r="30" spans="1:37">
      <c r="A30" s="76" t="s">
        <v>55</v>
      </c>
      <c r="B30" s="77">
        <v>22807</v>
      </c>
      <c r="C30" s="78">
        <v>64882</v>
      </c>
      <c r="D30" s="79">
        <v>20591</v>
      </c>
      <c r="E30" s="77">
        <v>22912</v>
      </c>
      <c r="F30" s="78">
        <v>65373</v>
      </c>
      <c r="G30" s="79">
        <v>20985</v>
      </c>
      <c r="H30" s="77">
        <v>22898</v>
      </c>
      <c r="I30" s="78">
        <v>65653</v>
      </c>
      <c r="J30" s="79">
        <v>21179</v>
      </c>
      <c r="K30" s="77">
        <v>22785</v>
      </c>
      <c r="L30" s="78">
        <v>66194</v>
      </c>
      <c r="M30" s="79">
        <v>21261</v>
      </c>
      <c r="N30" s="77">
        <v>22937</v>
      </c>
      <c r="O30" s="78">
        <v>66952</v>
      </c>
      <c r="P30" s="79">
        <v>21541</v>
      </c>
      <c r="Q30" s="77">
        <v>22982</v>
      </c>
      <c r="R30" s="78">
        <v>67449</v>
      </c>
      <c r="S30" s="79">
        <v>21999</v>
      </c>
      <c r="T30" s="77">
        <v>22783</v>
      </c>
      <c r="U30" s="78">
        <v>67385</v>
      </c>
      <c r="V30" s="79">
        <v>22512</v>
      </c>
      <c r="W30" s="403">
        <v>22599</v>
      </c>
      <c r="X30" s="404">
        <v>67391</v>
      </c>
      <c r="Y30" s="405">
        <v>22880</v>
      </c>
      <c r="Z30" s="429">
        <v>22013</v>
      </c>
      <c r="AA30" s="437">
        <v>67907</v>
      </c>
      <c r="AB30" s="430">
        <v>23960</v>
      </c>
      <c r="AC30" s="429">
        <v>21791</v>
      </c>
      <c r="AD30" s="437">
        <v>66983</v>
      </c>
      <c r="AE30" s="430">
        <v>24936</v>
      </c>
      <c r="AF30" s="429">
        <v>21703</v>
      </c>
      <c r="AG30" s="437">
        <v>66465</v>
      </c>
      <c r="AH30" s="430">
        <v>25702</v>
      </c>
      <c r="AI30" s="429">
        <v>21657</v>
      </c>
      <c r="AJ30" s="437">
        <v>66042</v>
      </c>
      <c r="AK30" s="430">
        <v>26331</v>
      </c>
    </row>
    <row r="31" spans="1:37">
      <c r="A31" s="76" t="s">
        <v>56</v>
      </c>
      <c r="B31" s="77">
        <v>5242</v>
      </c>
      <c r="C31" s="78">
        <v>13440</v>
      </c>
      <c r="D31" s="79">
        <v>3188</v>
      </c>
      <c r="E31" s="77">
        <v>5204</v>
      </c>
      <c r="F31" s="78">
        <v>13499</v>
      </c>
      <c r="G31" s="79">
        <v>3237</v>
      </c>
      <c r="H31" s="77">
        <v>5151</v>
      </c>
      <c r="I31" s="78">
        <v>13523</v>
      </c>
      <c r="J31" s="79">
        <v>3326</v>
      </c>
      <c r="K31" s="77">
        <v>5047</v>
      </c>
      <c r="L31" s="78">
        <v>13432</v>
      </c>
      <c r="M31" s="79">
        <v>3401</v>
      </c>
      <c r="N31" s="77">
        <v>5004</v>
      </c>
      <c r="O31" s="78">
        <v>13446</v>
      </c>
      <c r="P31" s="79">
        <v>3500</v>
      </c>
      <c r="Q31" s="77">
        <v>4911</v>
      </c>
      <c r="R31" s="78">
        <v>13449</v>
      </c>
      <c r="S31" s="79">
        <v>3620</v>
      </c>
      <c r="T31" s="77">
        <v>4893</v>
      </c>
      <c r="U31" s="78">
        <v>13597</v>
      </c>
      <c r="V31" s="79">
        <v>3720</v>
      </c>
      <c r="W31" s="403">
        <v>4880</v>
      </c>
      <c r="X31" s="404">
        <v>13726</v>
      </c>
      <c r="Y31" s="405">
        <v>3794</v>
      </c>
      <c r="Z31" s="76">
        <v>5102</v>
      </c>
      <c r="AA31" s="78">
        <v>14342</v>
      </c>
      <c r="AB31" s="433">
        <v>3796</v>
      </c>
      <c r="AC31" s="76">
        <v>5010</v>
      </c>
      <c r="AD31" s="78">
        <v>14218</v>
      </c>
      <c r="AE31" s="433">
        <v>3982</v>
      </c>
      <c r="AF31" s="76">
        <v>4940</v>
      </c>
      <c r="AG31" s="78">
        <v>14157</v>
      </c>
      <c r="AH31" s="433">
        <v>4103</v>
      </c>
      <c r="AI31" s="76">
        <v>4876</v>
      </c>
      <c r="AJ31" s="78">
        <v>14122</v>
      </c>
      <c r="AK31" s="433">
        <v>4232</v>
      </c>
    </row>
    <row r="32" spans="1:37">
      <c r="A32" s="76" t="s">
        <v>57</v>
      </c>
      <c r="B32" s="77">
        <v>22394</v>
      </c>
      <c r="C32" s="78">
        <v>67255</v>
      </c>
      <c r="D32" s="79">
        <v>21931</v>
      </c>
      <c r="E32" s="77">
        <v>22150</v>
      </c>
      <c r="F32" s="78">
        <v>67601</v>
      </c>
      <c r="G32" s="79">
        <v>22099</v>
      </c>
      <c r="H32" s="77">
        <v>21935</v>
      </c>
      <c r="I32" s="78">
        <v>67480</v>
      </c>
      <c r="J32" s="79">
        <v>22365</v>
      </c>
      <c r="K32" s="77">
        <v>21677</v>
      </c>
      <c r="L32" s="78">
        <v>67502</v>
      </c>
      <c r="M32" s="79">
        <v>22491</v>
      </c>
      <c r="N32" s="77">
        <v>21518</v>
      </c>
      <c r="O32" s="78">
        <v>67396</v>
      </c>
      <c r="P32" s="79">
        <v>22776</v>
      </c>
      <c r="Q32" s="77">
        <v>21298</v>
      </c>
      <c r="R32" s="78">
        <v>67220</v>
      </c>
      <c r="S32" s="79">
        <v>23152</v>
      </c>
      <c r="T32" s="77">
        <v>21000</v>
      </c>
      <c r="U32" s="78">
        <v>66994</v>
      </c>
      <c r="V32" s="79">
        <v>23446</v>
      </c>
      <c r="W32" s="403">
        <v>20723</v>
      </c>
      <c r="X32" s="404">
        <v>66930</v>
      </c>
      <c r="Y32" s="405">
        <v>23787</v>
      </c>
      <c r="Z32" s="429">
        <v>21147</v>
      </c>
      <c r="AA32" s="437">
        <v>67405</v>
      </c>
      <c r="AB32" s="430">
        <v>24428</v>
      </c>
      <c r="AC32" s="429">
        <v>20811</v>
      </c>
      <c r="AD32" s="437">
        <v>66840</v>
      </c>
      <c r="AE32" s="430">
        <v>25259</v>
      </c>
      <c r="AF32" s="429">
        <v>20632</v>
      </c>
      <c r="AG32" s="437">
        <v>66394</v>
      </c>
      <c r="AH32" s="430">
        <v>25824</v>
      </c>
      <c r="AI32" s="429">
        <v>20444</v>
      </c>
      <c r="AJ32" s="437">
        <v>65690</v>
      </c>
      <c r="AK32" s="430">
        <v>26376</v>
      </c>
    </row>
    <row r="33" spans="1:37">
      <c r="A33" s="76" t="s">
        <v>58</v>
      </c>
      <c r="B33" s="77">
        <v>66161</v>
      </c>
      <c r="C33" s="78">
        <v>189623</v>
      </c>
      <c r="D33" s="79">
        <v>47226</v>
      </c>
      <c r="E33" s="77">
        <v>66030</v>
      </c>
      <c r="F33" s="78">
        <v>191295</v>
      </c>
      <c r="G33" s="79">
        <v>48085</v>
      </c>
      <c r="H33" s="77">
        <v>65592</v>
      </c>
      <c r="I33" s="78">
        <v>192058</v>
      </c>
      <c r="J33" s="79">
        <v>48630</v>
      </c>
      <c r="K33" s="77">
        <v>65364</v>
      </c>
      <c r="L33" s="78">
        <v>193108</v>
      </c>
      <c r="M33" s="79">
        <v>49198</v>
      </c>
      <c r="N33" s="77">
        <v>65491</v>
      </c>
      <c r="O33" s="78">
        <v>194109</v>
      </c>
      <c r="P33" s="79">
        <v>49900</v>
      </c>
      <c r="Q33" s="77">
        <v>65220</v>
      </c>
      <c r="R33" s="78">
        <v>194237</v>
      </c>
      <c r="S33" s="79">
        <v>50633</v>
      </c>
      <c r="T33" s="77">
        <v>64937</v>
      </c>
      <c r="U33" s="78">
        <v>194503</v>
      </c>
      <c r="V33" s="79">
        <v>51490</v>
      </c>
      <c r="W33" s="403">
        <v>64499</v>
      </c>
      <c r="X33" s="404">
        <v>195156</v>
      </c>
      <c r="Y33" s="405">
        <v>52225</v>
      </c>
      <c r="Z33" s="76">
        <v>63131</v>
      </c>
      <c r="AA33" s="78">
        <v>197513</v>
      </c>
      <c r="AB33" s="433">
        <v>53256</v>
      </c>
      <c r="AC33" s="76">
        <v>62775</v>
      </c>
      <c r="AD33" s="78">
        <v>196566</v>
      </c>
      <c r="AE33" s="433">
        <v>55019</v>
      </c>
      <c r="AF33" s="76">
        <v>62521</v>
      </c>
      <c r="AG33" s="78">
        <v>195940</v>
      </c>
      <c r="AH33" s="433">
        <v>56389</v>
      </c>
      <c r="AI33" s="76">
        <v>62205</v>
      </c>
      <c r="AJ33" s="78">
        <v>195547</v>
      </c>
      <c r="AK33" s="433">
        <v>57608</v>
      </c>
    </row>
    <row r="34" spans="1:37">
      <c r="A34" s="76" t="s">
        <v>59</v>
      </c>
      <c r="B34" s="77">
        <v>18912</v>
      </c>
      <c r="C34" s="78">
        <v>53703</v>
      </c>
      <c r="D34" s="79">
        <v>13755</v>
      </c>
      <c r="E34" s="77">
        <v>18827</v>
      </c>
      <c r="F34" s="78">
        <v>53580</v>
      </c>
      <c r="G34" s="79">
        <v>13963</v>
      </c>
      <c r="H34" s="77">
        <v>19235</v>
      </c>
      <c r="I34" s="78">
        <v>53547</v>
      </c>
      <c r="J34" s="79">
        <v>14148</v>
      </c>
      <c r="K34" s="77">
        <v>19104</v>
      </c>
      <c r="L34" s="78">
        <v>54426</v>
      </c>
      <c r="M34" s="79">
        <v>14280</v>
      </c>
      <c r="N34" s="77">
        <v>19055</v>
      </c>
      <c r="O34" s="78">
        <v>54634</v>
      </c>
      <c r="P34" s="79">
        <v>14501</v>
      </c>
      <c r="Q34" s="77">
        <v>18935</v>
      </c>
      <c r="R34" s="78">
        <v>54600</v>
      </c>
      <c r="S34" s="79">
        <v>14815</v>
      </c>
      <c r="T34" s="77">
        <v>18700</v>
      </c>
      <c r="U34" s="78">
        <v>54860</v>
      </c>
      <c r="V34" s="79">
        <v>15180</v>
      </c>
      <c r="W34" s="403">
        <v>18716</v>
      </c>
      <c r="X34" s="404">
        <v>55739</v>
      </c>
      <c r="Y34" s="405">
        <v>15395</v>
      </c>
      <c r="Z34" s="429">
        <v>18180</v>
      </c>
      <c r="AA34" s="437">
        <v>56494</v>
      </c>
      <c r="AB34" s="430">
        <v>15656</v>
      </c>
      <c r="AC34" s="429">
        <v>18315</v>
      </c>
      <c r="AD34" s="437">
        <v>56434</v>
      </c>
      <c r="AE34" s="430">
        <v>16271</v>
      </c>
      <c r="AF34" s="429">
        <v>18157</v>
      </c>
      <c r="AG34" s="437">
        <v>56521</v>
      </c>
      <c r="AH34" s="430">
        <v>16582</v>
      </c>
      <c r="AI34" s="429">
        <v>18035</v>
      </c>
      <c r="AJ34" s="437">
        <v>56669</v>
      </c>
      <c r="AK34" s="430">
        <v>16876</v>
      </c>
    </row>
    <row r="35" spans="1:37">
      <c r="A35" s="76" t="s">
        <v>60</v>
      </c>
      <c r="B35" s="77">
        <v>20333</v>
      </c>
      <c r="C35" s="78">
        <v>57319</v>
      </c>
      <c r="D35" s="79">
        <v>14668</v>
      </c>
      <c r="E35" s="77">
        <v>19833</v>
      </c>
      <c r="F35" s="78">
        <v>57430</v>
      </c>
      <c r="G35" s="79">
        <v>14707</v>
      </c>
      <c r="H35" s="77">
        <v>19343</v>
      </c>
      <c r="I35" s="78">
        <v>57415</v>
      </c>
      <c r="J35" s="79">
        <v>14642</v>
      </c>
      <c r="K35" s="77">
        <v>19044</v>
      </c>
      <c r="L35" s="78">
        <v>57592</v>
      </c>
      <c r="M35" s="79">
        <v>14604</v>
      </c>
      <c r="N35" s="77">
        <v>18926</v>
      </c>
      <c r="O35" s="78">
        <v>57554</v>
      </c>
      <c r="P35" s="79">
        <v>14610</v>
      </c>
      <c r="Q35" s="77">
        <v>18813</v>
      </c>
      <c r="R35" s="78">
        <v>57496</v>
      </c>
      <c r="S35" s="79">
        <v>14631</v>
      </c>
      <c r="T35" s="77">
        <v>18728</v>
      </c>
      <c r="U35" s="78">
        <v>57414</v>
      </c>
      <c r="V35" s="79">
        <v>14778</v>
      </c>
      <c r="W35" s="403">
        <v>18443</v>
      </c>
      <c r="X35" s="404">
        <v>57217</v>
      </c>
      <c r="Y35" s="405">
        <v>14910</v>
      </c>
      <c r="Z35" s="76">
        <v>18250</v>
      </c>
      <c r="AA35" s="78">
        <v>57372</v>
      </c>
      <c r="AB35" s="433">
        <v>14988</v>
      </c>
      <c r="AC35" s="76">
        <v>18100</v>
      </c>
      <c r="AD35" s="78">
        <v>56969</v>
      </c>
      <c r="AE35" s="433">
        <v>15271</v>
      </c>
      <c r="AF35" s="76">
        <v>17896</v>
      </c>
      <c r="AG35" s="78">
        <v>56398</v>
      </c>
      <c r="AH35" s="433">
        <v>15516</v>
      </c>
      <c r="AI35" s="76">
        <v>17763</v>
      </c>
      <c r="AJ35" s="78">
        <v>56226</v>
      </c>
      <c r="AK35" s="433">
        <v>15741</v>
      </c>
    </row>
    <row r="36" spans="1:37">
      <c r="A36" s="76" t="s">
        <v>61</v>
      </c>
      <c r="B36" s="77">
        <v>38835</v>
      </c>
      <c r="C36" s="78">
        <v>102996</v>
      </c>
      <c r="D36" s="79">
        <v>19189</v>
      </c>
      <c r="E36" s="77">
        <v>38917</v>
      </c>
      <c r="F36" s="78">
        <v>104126</v>
      </c>
      <c r="G36" s="79">
        <v>19797</v>
      </c>
      <c r="H36" s="77">
        <v>38752</v>
      </c>
      <c r="I36" s="78">
        <v>104749</v>
      </c>
      <c r="J36" s="79">
        <v>20279</v>
      </c>
      <c r="K36" s="77">
        <v>38900</v>
      </c>
      <c r="L36" s="78">
        <v>106003</v>
      </c>
      <c r="M36" s="79">
        <v>20797</v>
      </c>
      <c r="N36" s="77">
        <v>39157</v>
      </c>
      <c r="O36" s="78">
        <v>107201</v>
      </c>
      <c r="P36" s="79">
        <v>21412</v>
      </c>
      <c r="Q36" s="77">
        <v>39419</v>
      </c>
      <c r="R36" s="78">
        <v>107994</v>
      </c>
      <c r="S36" s="79">
        <v>22097</v>
      </c>
      <c r="T36" s="77">
        <v>39476</v>
      </c>
      <c r="U36" s="78">
        <v>108819</v>
      </c>
      <c r="V36" s="79">
        <v>22745</v>
      </c>
      <c r="W36" s="403">
        <v>39441</v>
      </c>
      <c r="X36" s="404">
        <v>109187</v>
      </c>
      <c r="Y36" s="405">
        <v>23452</v>
      </c>
      <c r="Z36" s="429">
        <v>39985</v>
      </c>
      <c r="AA36" s="437">
        <v>111169</v>
      </c>
      <c r="AB36" s="430">
        <v>24146</v>
      </c>
      <c r="AC36" s="429">
        <v>39783</v>
      </c>
      <c r="AD36" s="437">
        <v>110994</v>
      </c>
      <c r="AE36" s="430">
        <v>25213</v>
      </c>
      <c r="AF36" s="429">
        <v>39562</v>
      </c>
      <c r="AG36" s="437">
        <v>110351</v>
      </c>
      <c r="AH36" s="430">
        <v>26227</v>
      </c>
      <c r="AI36" s="429">
        <v>39501</v>
      </c>
      <c r="AJ36" s="437">
        <v>110519</v>
      </c>
      <c r="AK36" s="430">
        <v>27130</v>
      </c>
    </row>
    <row r="37" spans="1:37" s="1" customFormat="1" ht="13.5" thickBot="1">
      <c r="A37" s="80" t="s">
        <v>62</v>
      </c>
      <c r="B37" s="81">
        <v>1073672</v>
      </c>
      <c r="C37" s="82">
        <v>3164665</v>
      </c>
      <c r="D37" s="83">
        <v>819063</v>
      </c>
      <c r="E37" s="81">
        <v>1066646</v>
      </c>
      <c r="F37" s="82">
        <v>3185200</v>
      </c>
      <c r="G37" s="83">
        <v>826554</v>
      </c>
      <c r="H37" s="81">
        <v>1059027</v>
      </c>
      <c r="I37" s="82">
        <v>3202679</v>
      </c>
      <c r="J37" s="83">
        <v>833094</v>
      </c>
      <c r="K37" s="81">
        <v>1050190</v>
      </c>
      <c r="L37" s="82">
        <v>3228742</v>
      </c>
      <c r="M37" s="83">
        <v>837968</v>
      </c>
      <c r="N37" s="81">
        <v>1047407</v>
      </c>
      <c r="O37" s="82">
        <v>3251180</v>
      </c>
      <c r="P37" s="83">
        <v>845613</v>
      </c>
      <c r="Q37" s="81">
        <v>1045693</v>
      </c>
      <c r="R37" s="82">
        <v>3266264</v>
      </c>
      <c r="S37" s="83">
        <v>856543</v>
      </c>
      <c r="T37" s="81">
        <v>1042147</v>
      </c>
      <c r="U37" s="82">
        <v>3283341</v>
      </c>
      <c r="V37" s="83">
        <v>868512</v>
      </c>
      <c r="W37" s="406">
        <v>1037839</v>
      </c>
      <c r="X37" s="407">
        <v>3304769</v>
      </c>
      <c r="Y37" s="408">
        <v>879492</v>
      </c>
      <c r="Z37" s="80">
        <v>1042058</v>
      </c>
      <c r="AA37" s="82">
        <v>3361478</v>
      </c>
      <c r="AB37" s="434">
        <v>896364</v>
      </c>
      <c r="AC37" s="80">
        <v>1038464</v>
      </c>
      <c r="AD37" s="82">
        <v>3349385</v>
      </c>
      <c r="AE37" s="434">
        <v>925751</v>
      </c>
      <c r="AF37" s="80">
        <v>1035394</v>
      </c>
      <c r="AG37" s="82">
        <v>3345444</v>
      </c>
      <c r="AH37" s="434">
        <v>946862</v>
      </c>
      <c r="AI37" s="80">
        <v>1033183</v>
      </c>
      <c r="AJ37" s="82">
        <v>3346028</v>
      </c>
      <c r="AK37" s="434">
        <v>968389</v>
      </c>
    </row>
    <row r="38" spans="1:37">
      <c r="A38" s="11"/>
    </row>
    <row r="39" spans="1:37">
      <c r="A39" s="84" t="s">
        <v>93</v>
      </c>
      <c r="B39" s="11"/>
      <c r="C39" s="11"/>
      <c r="D39" s="11"/>
      <c r="E39" s="11"/>
      <c r="F39" s="11"/>
      <c r="G39" s="11"/>
      <c r="H39" s="11"/>
      <c r="I39" s="11"/>
      <c r="J39" s="11"/>
      <c r="K39" s="11"/>
      <c r="L39" s="11"/>
      <c r="M39" s="11"/>
      <c r="N39" s="11"/>
      <c r="O39" s="11"/>
      <c r="P39" s="11"/>
      <c r="Q39" s="11"/>
      <c r="R39" s="11"/>
      <c r="S39" s="11"/>
      <c r="T39" s="11"/>
      <c r="U39" s="11"/>
      <c r="V39" s="11"/>
      <c r="Z39" s="11"/>
      <c r="AA39" s="11"/>
      <c r="AB39" s="11"/>
    </row>
    <row r="40" spans="1:37">
      <c r="A40" s="11" t="s">
        <v>94</v>
      </c>
    </row>
    <row r="41" spans="1:37">
      <c r="A41" s="85" t="s">
        <v>269</v>
      </c>
    </row>
    <row r="45" spans="1:37">
      <c r="B45" s="11"/>
      <c r="C45" s="11"/>
      <c r="D45" s="11"/>
      <c r="E45" s="11"/>
      <c r="F45" s="11"/>
      <c r="G45" s="11"/>
    </row>
    <row r="46" spans="1:37">
      <c r="B46" s="11"/>
    </row>
    <row r="47" spans="1:37">
      <c r="B47" s="11"/>
    </row>
  </sheetData>
  <mergeCells count="13">
    <mergeCell ref="AI3:AK3"/>
    <mergeCell ref="AC3:AE3"/>
    <mergeCell ref="AF3:AH3"/>
    <mergeCell ref="A3:A4"/>
    <mergeCell ref="B3:D3"/>
    <mergeCell ref="E3:G3"/>
    <mergeCell ref="H3:J3"/>
    <mergeCell ref="Z3:AB3"/>
    <mergeCell ref="W3:Y3"/>
    <mergeCell ref="N3:P3"/>
    <mergeCell ref="Q3:S3"/>
    <mergeCell ref="T3:V3"/>
    <mergeCell ref="K3:M3"/>
  </mergeCells>
  <phoneticPr fontId="5" type="noConversion"/>
  <hyperlinks>
    <hyperlink ref="A41" r:id="rId1"/>
  </hyperlinks>
  <pageMargins left="0.75" right="0.75" top="1" bottom="1" header="0.5" footer="0.5"/>
  <pageSetup paperSize="9" scale="80" orientation="landscape" r:id="rId2"/>
  <headerFooter alignWithMargins="0"/>
  <colBreaks count="1" manualBreakCount="1">
    <brk id="13" max="3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indexed="42"/>
  </sheetPr>
  <dimension ref="A2:O42"/>
  <sheetViews>
    <sheetView workbookViewId="0">
      <selection activeCell="K26" sqref="K26"/>
    </sheetView>
  </sheetViews>
  <sheetFormatPr defaultRowHeight="12.75"/>
  <cols>
    <col min="1" max="1" width="5.7109375" bestFit="1" customWidth="1"/>
    <col min="2" max="2" width="31" customWidth="1"/>
    <col min="3" max="4" width="10.5703125" customWidth="1"/>
  </cols>
  <sheetData>
    <row r="2" spans="1:15" ht="51">
      <c r="A2" s="21" t="s">
        <v>95</v>
      </c>
      <c r="B2" s="21" t="s">
        <v>26</v>
      </c>
      <c r="C2" s="10" t="s">
        <v>96</v>
      </c>
      <c r="D2" s="10"/>
      <c r="E2" s="10" t="s">
        <v>97</v>
      </c>
      <c r="F2" s="10" t="s">
        <v>253</v>
      </c>
    </row>
    <row r="3" spans="1:15">
      <c r="A3" s="7"/>
      <c r="B3" s="7" t="s">
        <v>56</v>
      </c>
      <c r="C3" s="8">
        <v>1462.5484287559191</v>
      </c>
      <c r="D3" s="8" t="str">
        <f>IF(B3=Cover!$C$5,C3," ")</f>
        <v xml:space="preserve"> </v>
      </c>
      <c r="E3" s="8">
        <v>738</v>
      </c>
      <c r="F3" s="553">
        <v>43</v>
      </c>
      <c r="K3" s="188"/>
      <c r="O3" s="188"/>
    </row>
    <row r="4" spans="1:15">
      <c r="A4" s="7"/>
      <c r="B4" s="7" t="s">
        <v>52</v>
      </c>
      <c r="C4" s="8">
        <v>1082.3529411764705</v>
      </c>
      <c r="D4" s="8" t="str">
        <f>IF(B4=Cover!$C$5,C4," ")</f>
        <v xml:space="preserve"> </v>
      </c>
      <c r="E4" s="8">
        <v>738</v>
      </c>
      <c r="F4" s="553">
        <v>35</v>
      </c>
      <c r="K4" s="188"/>
      <c r="O4" s="188"/>
    </row>
    <row r="5" spans="1:15">
      <c r="A5" s="7"/>
      <c r="B5" s="7" t="s">
        <v>42</v>
      </c>
      <c r="C5" s="8">
        <v>1032.0366972477063</v>
      </c>
      <c r="D5" s="8" t="str">
        <f>IF(B5=Cover!$C$5,C5," ")</f>
        <v xml:space="preserve"> </v>
      </c>
      <c r="E5" s="8">
        <v>738</v>
      </c>
      <c r="F5" s="553">
        <v>39</v>
      </c>
      <c r="K5" s="188"/>
      <c r="O5" s="188"/>
    </row>
    <row r="6" spans="1:15">
      <c r="A6" s="7"/>
      <c r="B6" s="7" t="s">
        <v>45</v>
      </c>
      <c r="C6" s="8">
        <v>900.28349870757938</v>
      </c>
      <c r="D6" s="8" t="str">
        <f>IF(B6=Cover!$C$5,C6," ")</f>
        <v xml:space="preserve"> </v>
      </c>
      <c r="E6" s="8">
        <v>738</v>
      </c>
      <c r="F6" s="553">
        <v>33</v>
      </c>
      <c r="K6" s="188"/>
      <c r="O6" s="188"/>
    </row>
    <row r="7" spans="1:15">
      <c r="A7" s="7"/>
      <c r="B7" s="7" t="s">
        <v>60</v>
      </c>
      <c r="C7" s="8">
        <v>885.01058731750811</v>
      </c>
      <c r="D7" s="8" t="str">
        <f>IF(B7=Cover!$C$5,C7," ")</f>
        <v xml:space="preserve"> </v>
      </c>
      <c r="E7" s="8">
        <v>738</v>
      </c>
      <c r="F7" s="553">
        <v>39</v>
      </c>
      <c r="K7" s="188"/>
      <c r="O7" s="188"/>
    </row>
    <row r="8" spans="1:15">
      <c r="A8" s="7"/>
      <c r="B8" s="7" t="s">
        <v>37</v>
      </c>
      <c r="C8" s="8">
        <v>859.95548360987459</v>
      </c>
      <c r="D8" s="8" t="str">
        <f>IF(B8=Cover!$C$5,C8," ")</f>
        <v xml:space="preserve"> </v>
      </c>
      <c r="E8" s="8">
        <v>738</v>
      </c>
      <c r="F8" s="553">
        <v>38</v>
      </c>
      <c r="K8" s="188"/>
      <c r="O8" s="188"/>
    </row>
    <row r="9" spans="1:15">
      <c r="A9" s="7"/>
      <c r="B9" s="7" t="s">
        <v>50</v>
      </c>
      <c r="C9" s="8">
        <v>847.5045804323928</v>
      </c>
      <c r="D9" s="8" t="str">
        <f>IF(B9=Cover!$C$5,C9," ")</f>
        <v xml:space="preserve"> </v>
      </c>
      <c r="E9" s="8">
        <v>738</v>
      </c>
      <c r="F9" s="553">
        <v>35</v>
      </c>
      <c r="K9" s="188"/>
      <c r="O9" s="188"/>
    </row>
    <row r="10" spans="1:15">
      <c r="A10" s="7"/>
      <c r="B10" s="7" t="s">
        <v>47</v>
      </c>
      <c r="C10" s="8">
        <v>840.97170047583268</v>
      </c>
      <c r="D10" s="8" t="str">
        <f>IF(B10=Cover!$C$5,C10," ")</f>
        <v xml:space="preserve"> </v>
      </c>
      <c r="E10" s="8">
        <v>738</v>
      </c>
      <c r="F10" s="553">
        <v>37</v>
      </c>
      <c r="K10" s="188"/>
      <c r="O10" s="188"/>
    </row>
    <row r="11" spans="1:15">
      <c r="A11" s="7"/>
      <c r="B11" s="7" t="s">
        <v>57</v>
      </c>
      <c r="C11" s="8">
        <v>822.30912807750417</v>
      </c>
      <c r="D11" s="8" t="str">
        <f>IF(B11=Cover!$C$5,C11," ")</f>
        <v xml:space="preserve"> </v>
      </c>
      <c r="E11" s="8">
        <v>738</v>
      </c>
      <c r="F11" s="553">
        <v>36</v>
      </c>
      <c r="K11" s="188"/>
      <c r="O11" s="188"/>
    </row>
    <row r="12" spans="1:15">
      <c r="A12" s="7"/>
      <c r="B12" s="7" t="s">
        <v>35</v>
      </c>
      <c r="C12" s="8">
        <v>815.13967571791363</v>
      </c>
      <c r="D12" s="8" t="str">
        <f>IF(B12=Cover!$C$5,C12," ")</f>
        <v xml:space="preserve"> </v>
      </c>
      <c r="E12" s="8">
        <v>738</v>
      </c>
      <c r="F12" s="553">
        <v>48</v>
      </c>
      <c r="K12" s="188"/>
      <c r="O12" s="188"/>
    </row>
    <row r="13" spans="1:15">
      <c r="A13" s="7"/>
      <c r="B13" s="7" t="s">
        <v>36</v>
      </c>
      <c r="C13" s="8">
        <v>789.93597438975587</v>
      </c>
      <c r="D13" s="8" t="str">
        <f>IF(B13=Cover!$C$5,C13," ")</f>
        <v xml:space="preserve"> </v>
      </c>
      <c r="E13" s="8">
        <v>738</v>
      </c>
      <c r="F13" s="553">
        <v>43</v>
      </c>
      <c r="K13" s="188"/>
      <c r="O13" s="188"/>
    </row>
    <row r="14" spans="1:15">
      <c r="A14" s="7"/>
      <c r="B14" s="7" t="s">
        <v>34</v>
      </c>
      <c r="C14" s="8">
        <v>777.74355464293865</v>
      </c>
      <c r="D14" s="8" t="str">
        <f>IF(B14=Cover!$C$5,C14," ")</f>
        <v xml:space="preserve"> </v>
      </c>
      <c r="E14" s="8">
        <v>738</v>
      </c>
      <c r="F14" s="553">
        <v>37</v>
      </c>
      <c r="K14" s="188"/>
      <c r="O14" s="188"/>
    </row>
    <row r="15" spans="1:15">
      <c r="A15" s="7"/>
      <c r="B15" s="7" t="s">
        <v>54</v>
      </c>
      <c r="C15" s="8">
        <v>776.8696550536647</v>
      </c>
      <c r="D15" s="8" t="str">
        <f>IF(B15=Cover!$C$5,C15," ")</f>
        <v xml:space="preserve"> </v>
      </c>
      <c r="E15" s="8">
        <v>738</v>
      </c>
      <c r="F15" s="553">
        <v>40</v>
      </c>
      <c r="K15" s="188"/>
      <c r="O15" s="188"/>
    </row>
    <row r="16" spans="1:15">
      <c r="A16" s="7"/>
      <c r="B16" s="7" t="s">
        <v>140</v>
      </c>
      <c r="C16" s="8">
        <v>765.88049037915073</v>
      </c>
      <c r="D16" s="8" t="str">
        <f>IF(B16=Cover!$C$5,C16," ")</f>
        <v xml:space="preserve"> </v>
      </c>
      <c r="E16" s="8">
        <v>738</v>
      </c>
      <c r="F16" s="553">
        <v>29</v>
      </c>
      <c r="K16" s="188"/>
      <c r="O16" s="188"/>
    </row>
    <row r="17" spans="1:15">
      <c r="A17" s="7"/>
      <c r="B17" s="7" t="s">
        <v>38</v>
      </c>
      <c r="C17" s="8">
        <v>761.1952517396644</v>
      </c>
      <c r="D17" s="8" t="str">
        <f>IF(B17=Cover!$C$5,C17," ")</f>
        <v xml:space="preserve"> </v>
      </c>
      <c r="E17" s="8">
        <v>738</v>
      </c>
      <c r="F17" s="553">
        <v>36</v>
      </c>
      <c r="K17" s="188"/>
      <c r="O17" s="188"/>
    </row>
    <row r="18" spans="1:15">
      <c r="A18" s="7"/>
      <c r="B18" s="7" t="s">
        <v>39</v>
      </c>
      <c r="C18" s="8">
        <v>754.46453668134541</v>
      </c>
      <c r="D18" s="8" t="str">
        <f>IF(B18=Cover!$C$5,C18," ")</f>
        <v xml:space="preserve"> </v>
      </c>
      <c r="E18" s="8">
        <v>738</v>
      </c>
      <c r="F18" s="553">
        <v>34</v>
      </c>
      <c r="K18" s="188"/>
      <c r="O18" s="188"/>
    </row>
    <row r="19" spans="1:15">
      <c r="A19" s="7"/>
      <c r="B19" s="7" t="s">
        <v>44</v>
      </c>
      <c r="C19" s="8">
        <v>753.16124816206502</v>
      </c>
      <c r="D19" s="8" t="str">
        <f>IF(B19=Cover!$C$5,C19," ")</f>
        <v xml:space="preserve"> </v>
      </c>
      <c r="E19" s="8">
        <v>738</v>
      </c>
      <c r="F19" s="553">
        <v>42</v>
      </c>
      <c r="K19" s="188"/>
      <c r="O19" s="188"/>
    </row>
    <row r="20" spans="1:15">
      <c r="A20" s="7"/>
      <c r="B20" s="7" t="s">
        <v>31</v>
      </c>
      <c r="C20" s="8">
        <v>742.82283069129653</v>
      </c>
      <c r="D20" s="8">
        <f>IF(B20=Cover!$C$5,C20," ")</f>
        <v>742.82283069129653</v>
      </c>
      <c r="E20" s="8">
        <v>738</v>
      </c>
      <c r="F20" s="553">
        <v>37</v>
      </c>
      <c r="K20" s="188"/>
      <c r="O20" s="188"/>
    </row>
    <row r="21" spans="1:15">
      <c r="A21" s="7"/>
      <c r="B21" s="7" t="s">
        <v>43</v>
      </c>
      <c r="C21" s="8">
        <v>736.53260593757932</v>
      </c>
      <c r="D21" s="8" t="str">
        <f>IF(B21=Cover!$C$5,C21," ")</f>
        <v xml:space="preserve"> </v>
      </c>
      <c r="E21" s="8">
        <v>738</v>
      </c>
      <c r="F21" s="553">
        <v>34</v>
      </c>
      <c r="K21" s="188"/>
      <c r="O21" s="188"/>
    </row>
    <row r="22" spans="1:15">
      <c r="A22" s="7"/>
      <c r="B22" s="7" t="s">
        <v>55</v>
      </c>
      <c r="C22" s="8">
        <v>712.67210383232486</v>
      </c>
      <c r="D22" s="8" t="str">
        <f>IF(B22=Cover!$C$5,C22," ")</f>
        <v xml:space="preserve"> </v>
      </c>
      <c r="E22" s="8">
        <v>738</v>
      </c>
      <c r="F22" s="553">
        <v>41</v>
      </c>
      <c r="K22" s="188"/>
      <c r="O22" s="188"/>
    </row>
    <row r="23" spans="1:15">
      <c r="A23" s="7"/>
      <c r="B23" s="7" t="s">
        <v>48</v>
      </c>
      <c r="C23" s="8">
        <v>699.53601670339867</v>
      </c>
      <c r="D23" s="8" t="str">
        <f>IF(B23=Cover!$C$5,C23," ")</f>
        <v xml:space="preserve"> </v>
      </c>
      <c r="E23" s="8">
        <v>738</v>
      </c>
      <c r="F23" s="553">
        <v>28</v>
      </c>
      <c r="K23" s="188"/>
      <c r="O23" s="188"/>
    </row>
    <row r="24" spans="1:15">
      <c r="A24" s="7"/>
      <c r="B24" s="7" t="s">
        <v>40</v>
      </c>
      <c r="C24" s="8">
        <v>673.69916707496327</v>
      </c>
      <c r="D24" s="8" t="str">
        <f>IF(B24=Cover!$C$5,C24," ")</f>
        <v xml:space="preserve"> </v>
      </c>
      <c r="E24" s="8">
        <v>738</v>
      </c>
      <c r="F24" s="553">
        <v>36</v>
      </c>
      <c r="K24" s="188"/>
      <c r="O24" s="188"/>
    </row>
    <row r="25" spans="1:15">
      <c r="A25" s="7"/>
      <c r="B25" s="7" t="s">
        <v>49</v>
      </c>
      <c r="C25" s="8">
        <v>669.67810026385223</v>
      </c>
      <c r="D25" s="8" t="str">
        <f>IF(B25=Cover!$C$5,C25," ")</f>
        <v xml:space="preserve"> </v>
      </c>
      <c r="E25" s="8">
        <v>738</v>
      </c>
      <c r="F25" s="553">
        <v>34</v>
      </c>
      <c r="K25" s="188"/>
      <c r="O25" s="188"/>
    </row>
    <row r="26" spans="1:15">
      <c r="A26" s="7"/>
      <c r="B26" s="7" t="s">
        <v>46</v>
      </c>
      <c r="C26" s="8">
        <v>643.76662376662375</v>
      </c>
      <c r="D26" s="8" t="str">
        <f>IF(B26=Cover!$C$5,C26," ")</f>
        <v xml:space="preserve"> </v>
      </c>
      <c r="E26" s="8">
        <v>738</v>
      </c>
      <c r="F26" s="553">
        <v>23</v>
      </c>
      <c r="K26" s="188"/>
      <c r="O26" s="188"/>
    </row>
    <row r="27" spans="1:15">
      <c r="A27" s="7"/>
      <c r="B27" s="7" t="s">
        <v>33</v>
      </c>
      <c r="C27" s="8">
        <v>643.40819475398598</v>
      </c>
      <c r="D27" s="8" t="str">
        <f>IF(B27=Cover!$C$5,C27," ")</f>
        <v xml:space="preserve"> </v>
      </c>
      <c r="E27" s="8">
        <v>738</v>
      </c>
      <c r="F27" s="553">
        <v>26</v>
      </c>
      <c r="K27" s="188"/>
      <c r="O27" s="188"/>
    </row>
    <row r="28" spans="1:15">
      <c r="A28" s="7"/>
      <c r="B28" s="7" t="s">
        <v>41</v>
      </c>
      <c r="C28" s="8">
        <v>637.17254817059973</v>
      </c>
      <c r="D28" s="8" t="str">
        <f>IF(B28=Cover!$C$5,C28," ")</f>
        <v xml:space="preserve"> </v>
      </c>
      <c r="E28" s="8">
        <v>738</v>
      </c>
      <c r="F28" s="553">
        <v>33</v>
      </c>
      <c r="K28" s="188"/>
      <c r="O28" s="188"/>
    </row>
    <row r="29" spans="1:15">
      <c r="A29" s="7"/>
      <c r="B29" s="7" t="s">
        <v>59</v>
      </c>
      <c r="C29" s="8">
        <v>624.30661716531995</v>
      </c>
      <c r="D29" s="8" t="str">
        <f>IF(B29=Cover!$C$5,C29," ")</f>
        <v xml:space="preserve"> </v>
      </c>
      <c r="E29" s="8">
        <v>738</v>
      </c>
      <c r="F29" s="553">
        <v>40</v>
      </c>
      <c r="K29" s="188"/>
      <c r="O29" s="188"/>
    </row>
    <row r="30" spans="1:15">
      <c r="A30" s="7"/>
      <c r="B30" s="7" t="s">
        <v>58</v>
      </c>
      <c r="C30" s="8">
        <v>616.07369355657022</v>
      </c>
      <c r="D30" s="8" t="str">
        <f>IF(B30=Cover!$C$5,C30," ")</f>
        <v xml:space="preserve"> </v>
      </c>
      <c r="E30" s="8">
        <v>738</v>
      </c>
      <c r="F30" s="553">
        <v>21</v>
      </c>
      <c r="K30" s="188"/>
      <c r="O30" s="188"/>
    </row>
    <row r="31" spans="1:15">
      <c r="A31" s="7"/>
      <c r="B31" s="7" t="s">
        <v>51</v>
      </c>
      <c r="C31" s="8">
        <v>612.70602160082854</v>
      </c>
      <c r="D31" s="8" t="str">
        <f>IF(B31=Cover!$C$5,C31," ")</f>
        <v xml:space="preserve"> </v>
      </c>
      <c r="E31" s="8">
        <v>738</v>
      </c>
      <c r="F31" s="553">
        <v>33</v>
      </c>
      <c r="K31" s="188"/>
      <c r="O31" s="188"/>
    </row>
    <row r="32" spans="1:15">
      <c r="A32" s="7"/>
      <c r="B32" s="7" t="s">
        <v>53</v>
      </c>
      <c r="C32" s="8">
        <v>606.54889844169804</v>
      </c>
      <c r="D32" s="8" t="str">
        <f>IF(B32=Cover!$C$5,C32," ")</f>
        <v xml:space="preserve"> </v>
      </c>
      <c r="E32" s="8">
        <v>738</v>
      </c>
      <c r="F32" s="553">
        <v>38</v>
      </c>
      <c r="K32" s="188"/>
      <c r="O32" s="188"/>
    </row>
    <row r="33" spans="1:15">
      <c r="A33" s="7"/>
      <c r="B33" s="7" t="s">
        <v>32</v>
      </c>
      <c r="C33" s="8">
        <v>600.69481765834928</v>
      </c>
      <c r="D33" s="8" t="str">
        <f>IF(B33=Cover!$C$5,C33," ")</f>
        <v xml:space="preserve"> </v>
      </c>
      <c r="E33" s="8">
        <v>738</v>
      </c>
      <c r="F33" s="553">
        <v>39</v>
      </c>
      <c r="K33" s="188"/>
      <c r="O33" s="188"/>
    </row>
    <row r="34" spans="1:15">
      <c r="A34" s="7"/>
      <c r="B34" s="7" t="s">
        <v>61</v>
      </c>
      <c r="C34" s="8">
        <v>544.03612757550104</v>
      </c>
      <c r="D34" s="8" t="str">
        <f>IF(B34=Cover!$C$5,C34," ")</f>
        <v xml:space="preserve"> </v>
      </c>
      <c r="E34" s="8">
        <v>738</v>
      </c>
      <c r="F34" s="553">
        <v>36</v>
      </c>
      <c r="K34" s="188"/>
      <c r="O34" s="188"/>
    </row>
    <row r="35" spans="1:15">
      <c r="O35" s="188"/>
    </row>
    <row r="36" spans="1:15">
      <c r="B36" s="89" t="s">
        <v>100</v>
      </c>
      <c r="C36" s="89"/>
      <c r="D36" s="89">
        <f>SUM(D3:D34)</f>
        <v>742.82283069129653</v>
      </c>
    </row>
    <row r="37" spans="1:15">
      <c r="B37" s="89" t="s">
        <v>68</v>
      </c>
      <c r="C37" s="89"/>
      <c r="D37" s="89">
        <f>MIN(C3:C34)</f>
        <v>544.03612757550104</v>
      </c>
    </row>
    <row r="38" spans="1:15">
      <c r="B38" s="89" t="s">
        <v>69</v>
      </c>
      <c r="C38" s="89"/>
      <c r="D38" s="89">
        <f>MAX(C3:C34)</f>
        <v>1462.5484287559191</v>
      </c>
    </row>
    <row r="39" spans="1:15">
      <c r="B39" s="89" t="s">
        <v>101</v>
      </c>
      <c r="C39" s="89"/>
      <c r="D39" s="89">
        <f>E34</f>
        <v>738</v>
      </c>
    </row>
    <row r="42" spans="1:15">
      <c r="C42" s="11"/>
    </row>
  </sheetData>
  <sheetProtection selectLockedCells="1" selectUnlockedCells="1"/>
  <autoFilter ref="A2:F34">
    <sortState ref="A3:F34">
      <sortCondition descending="1" ref="C2:C34"/>
    </sortState>
  </autoFilter>
  <sortState ref="J3:K34">
    <sortCondition descending="1" ref="K3:K34"/>
  </sortState>
  <phoneticPr fontId="5" type="noConversion"/>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indexed="42"/>
  </sheetPr>
  <dimension ref="A2:L39"/>
  <sheetViews>
    <sheetView workbookViewId="0">
      <selection activeCell="J20" sqref="J20"/>
    </sheetView>
  </sheetViews>
  <sheetFormatPr defaultRowHeight="12.75"/>
  <cols>
    <col min="1" max="1" width="3.42578125" bestFit="1" customWidth="1"/>
    <col min="2" max="2" width="31" customWidth="1"/>
    <col min="3" max="4" width="10.5703125" customWidth="1"/>
  </cols>
  <sheetData>
    <row r="2" spans="1:12" ht="51">
      <c r="A2" s="21" t="s">
        <v>95</v>
      </c>
      <c r="B2" s="21" t="s">
        <v>26</v>
      </c>
      <c r="C2" s="10" t="s">
        <v>98</v>
      </c>
      <c r="D2" s="10" t="s">
        <v>194</v>
      </c>
      <c r="E2" s="10" t="s">
        <v>97</v>
      </c>
      <c r="F2" s="10" t="s">
        <v>225</v>
      </c>
    </row>
    <row r="3" spans="1:12">
      <c r="A3" s="7">
        <v>14</v>
      </c>
      <c r="B3" s="7" t="s">
        <v>45</v>
      </c>
      <c r="C3" s="8">
        <v>1397.4424692894934</v>
      </c>
      <c r="D3" s="8" t="str">
        <f>IF(B3=Cover!$C$5,C3," ")</f>
        <v xml:space="preserve"> </v>
      </c>
      <c r="E3" s="8">
        <v>856</v>
      </c>
      <c r="F3" s="554">
        <v>8.2901554404145081E-2</v>
      </c>
      <c r="K3" s="188"/>
      <c r="L3" s="188"/>
    </row>
    <row r="4" spans="1:12">
      <c r="A4" s="86">
        <v>19</v>
      </c>
      <c r="B4" s="7" t="s">
        <v>35</v>
      </c>
      <c r="C4" s="8">
        <v>1125.291149068323</v>
      </c>
      <c r="D4" s="8" t="str">
        <f>IF(B4=Cover!$C$5,C4," ")</f>
        <v xml:space="preserve"> </v>
      </c>
      <c r="E4" s="8">
        <v>856</v>
      </c>
      <c r="F4" s="554">
        <v>0.14285714285714285</v>
      </c>
      <c r="K4" s="188"/>
      <c r="L4" s="188"/>
    </row>
    <row r="5" spans="1:12">
      <c r="A5" s="7">
        <v>5</v>
      </c>
      <c r="B5" s="7" t="s">
        <v>37</v>
      </c>
      <c r="C5" s="8">
        <v>1123.4299605878671</v>
      </c>
      <c r="D5" s="8" t="str">
        <f>IF(B5=Cover!$C$5,C5," ")</f>
        <v xml:space="preserve"> </v>
      </c>
      <c r="E5" s="8">
        <v>856</v>
      </c>
      <c r="F5" s="554">
        <v>0.26815642458100558</v>
      </c>
      <c r="K5" s="188"/>
      <c r="L5" s="188"/>
    </row>
    <row r="6" spans="1:12">
      <c r="A6" s="7">
        <v>9</v>
      </c>
      <c r="B6" s="7" t="s">
        <v>140</v>
      </c>
      <c r="C6" s="8">
        <v>1097.2982559858112</v>
      </c>
      <c r="D6" s="8" t="str">
        <f>IF(B6=Cover!$C$5,C6," ")</f>
        <v xml:space="preserve"> </v>
      </c>
      <c r="E6" s="8">
        <v>856</v>
      </c>
      <c r="F6" s="554">
        <v>2.5000000000000001E-2</v>
      </c>
      <c r="K6" s="188"/>
      <c r="L6" s="188"/>
    </row>
    <row r="7" spans="1:12">
      <c r="A7" s="7">
        <v>17</v>
      </c>
      <c r="B7" s="7" t="s">
        <v>50</v>
      </c>
      <c r="C7" s="8">
        <v>1066.9657879977565</v>
      </c>
      <c r="D7" s="8" t="str">
        <f>IF(B7=Cover!$C$5,C7," ")</f>
        <v xml:space="preserve"> </v>
      </c>
      <c r="E7" s="8">
        <v>856</v>
      </c>
      <c r="F7" s="554">
        <v>0.53458213256484155</v>
      </c>
      <c r="K7" s="188"/>
      <c r="L7" s="188"/>
    </row>
    <row r="8" spans="1:12">
      <c r="A8" s="7">
        <v>15</v>
      </c>
      <c r="B8" s="7" t="s">
        <v>54</v>
      </c>
      <c r="C8" s="8">
        <v>1059.8849832756293</v>
      </c>
      <c r="D8" s="8" t="str">
        <f>IF(B8=Cover!$C$5,C8," ")</f>
        <v xml:space="preserve"> </v>
      </c>
      <c r="E8" s="8">
        <v>856</v>
      </c>
      <c r="F8" s="554">
        <v>0.33898305084745761</v>
      </c>
      <c r="K8" s="188"/>
      <c r="L8" s="188"/>
    </row>
    <row r="9" spans="1:12">
      <c r="A9" s="7">
        <v>31</v>
      </c>
      <c r="B9" s="7" t="s">
        <v>31</v>
      </c>
      <c r="C9" s="8">
        <v>1028.8906624102153</v>
      </c>
      <c r="D9" s="8">
        <f>IF(B9=Cover!$C$5,C9," ")</f>
        <v>1028.8906624102153</v>
      </c>
      <c r="E9" s="8">
        <v>856</v>
      </c>
      <c r="F9" s="554">
        <v>0.14720812182741116</v>
      </c>
      <c r="L9" s="188"/>
    </row>
    <row r="10" spans="1:12">
      <c r="A10" s="7">
        <v>16</v>
      </c>
      <c r="B10" s="7" t="s">
        <v>56</v>
      </c>
      <c r="C10" s="8">
        <v>1012.7153404429861</v>
      </c>
      <c r="D10" s="8" t="str">
        <f>IF(B10=Cover!$C$5,C10," ")</f>
        <v xml:space="preserve"> </v>
      </c>
      <c r="E10" s="8">
        <v>856</v>
      </c>
      <c r="F10" s="554">
        <v>0.31818181818181818</v>
      </c>
      <c r="K10" s="188"/>
      <c r="L10" s="188"/>
    </row>
    <row r="11" spans="1:12">
      <c r="A11" s="7">
        <v>22</v>
      </c>
      <c r="B11" s="7" t="s">
        <v>46</v>
      </c>
      <c r="C11" s="8">
        <v>1008.4865007475157</v>
      </c>
      <c r="D11" s="8" t="str">
        <f>IF(B11=Cover!$C$5,C11," ")</f>
        <v xml:space="preserve"> </v>
      </c>
      <c r="E11" s="8">
        <v>856</v>
      </c>
      <c r="F11" s="554">
        <v>9.0163934426229511E-2</v>
      </c>
      <c r="K11" s="188"/>
      <c r="L11" s="188"/>
    </row>
    <row r="12" spans="1:12">
      <c r="A12" s="7">
        <v>4</v>
      </c>
      <c r="B12" s="7" t="s">
        <v>60</v>
      </c>
      <c r="C12" s="8">
        <v>985.53172324494733</v>
      </c>
      <c r="D12" s="8" t="str">
        <f>IF(B12=Cover!$C$5,C12," ")</f>
        <v xml:space="preserve"> </v>
      </c>
      <c r="E12" s="8">
        <v>856</v>
      </c>
      <c r="F12" s="554">
        <v>2.6578073089700997E-2</v>
      </c>
      <c r="K12" s="188"/>
      <c r="L12" s="188"/>
    </row>
    <row r="13" spans="1:12">
      <c r="A13" s="7">
        <v>6</v>
      </c>
      <c r="B13" s="7" t="s">
        <v>38</v>
      </c>
      <c r="C13" s="8">
        <v>985.30510585305115</v>
      </c>
      <c r="D13" s="8" t="str">
        <f>IF(B13=Cover!$C$5,C13," ")</f>
        <v xml:space="preserve"> </v>
      </c>
      <c r="E13" s="8">
        <v>856</v>
      </c>
      <c r="F13" s="554">
        <v>5.7142857142857141E-2</v>
      </c>
      <c r="K13" s="188"/>
      <c r="L13" s="188"/>
    </row>
    <row r="14" spans="1:12">
      <c r="A14" s="7">
        <v>26</v>
      </c>
      <c r="B14" s="7" t="s">
        <v>57</v>
      </c>
      <c r="C14" s="8">
        <v>970.26022304832713</v>
      </c>
      <c r="D14" s="8" t="str">
        <f>IF(B14=Cover!$C$5,C14," ")</f>
        <v xml:space="preserve"> </v>
      </c>
      <c r="E14" s="8">
        <v>856</v>
      </c>
      <c r="F14" s="554">
        <v>0</v>
      </c>
      <c r="K14" s="188"/>
      <c r="L14" s="188"/>
    </row>
    <row r="15" spans="1:12">
      <c r="A15" s="7">
        <v>32</v>
      </c>
      <c r="B15" s="7" t="s">
        <v>44</v>
      </c>
      <c r="C15" s="8">
        <v>914.56808501840135</v>
      </c>
      <c r="D15" s="8" t="str">
        <f>IF(B15=Cover!$C$5,C15," ")</f>
        <v xml:space="preserve"> </v>
      </c>
      <c r="E15" s="8">
        <v>856</v>
      </c>
      <c r="F15" s="554">
        <v>0.44545454545454544</v>
      </c>
      <c r="K15" s="188"/>
      <c r="L15" s="188"/>
    </row>
    <row r="16" spans="1:12">
      <c r="A16" s="7">
        <v>1</v>
      </c>
      <c r="B16" s="7" t="s">
        <v>49</v>
      </c>
      <c r="C16" s="8">
        <v>884.65375124691548</v>
      </c>
      <c r="D16" s="8" t="str">
        <f>IF(B16=Cover!$C$5,C16," ")</f>
        <v xml:space="preserve"> </v>
      </c>
      <c r="E16" s="8">
        <v>856</v>
      </c>
      <c r="F16" s="554">
        <v>4.6153846153846156E-2</v>
      </c>
      <c r="K16" s="188"/>
      <c r="L16" s="188"/>
    </row>
    <row r="17" spans="1:12">
      <c r="A17" s="7">
        <v>20</v>
      </c>
      <c r="B17" s="7" t="s">
        <v>43</v>
      </c>
      <c r="C17" s="8">
        <v>861.78709010617308</v>
      </c>
      <c r="D17" s="8" t="str">
        <f>IF(B17=Cover!$C$5,C17," ")</f>
        <v xml:space="preserve"> </v>
      </c>
      <c r="E17" s="8">
        <v>856</v>
      </c>
      <c r="F17" s="554">
        <v>8.2191780821917804E-2</v>
      </c>
      <c r="K17" s="188"/>
      <c r="L17" s="188"/>
    </row>
    <row r="18" spans="1:12">
      <c r="A18" s="7">
        <v>18</v>
      </c>
      <c r="B18" s="7" t="s">
        <v>52</v>
      </c>
      <c r="C18" s="8">
        <v>846.67165295437553</v>
      </c>
      <c r="D18" s="8" t="str">
        <f>IF(B18=Cover!$C$5,C18," ")</f>
        <v xml:space="preserve"> </v>
      </c>
      <c r="E18" s="8">
        <v>856</v>
      </c>
      <c r="F18" s="554">
        <v>0.265625</v>
      </c>
      <c r="K18" s="188"/>
      <c r="L18" s="188"/>
    </row>
    <row r="19" spans="1:12">
      <c r="A19" s="7">
        <v>8</v>
      </c>
      <c r="B19" s="7" t="s">
        <v>47</v>
      </c>
      <c r="C19" s="8">
        <v>837.60512615138157</v>
      </c>
      <c r="D19" s="8" t="str">
        <f>IF(B19=Cover!$C$5,C19," ")</f>
        <v xml:space="preserve"> </v>
      </c>
      <c r="E19" s="8">
        <v>856</v>
      </c>
      <c r="F19" s="554">
        <v>1.7241379310344827E-2</v>
      </c>
      <c r="K19" s="188"/>
      <c r="L19" s="188"/>
    </row>
    <row r="20" spans="1:12">
      <c r="A20" s="7">
        <v>30</v>
      </c>
      <c r="B20" s="7" t="s">
        <v>48</v>
      </c>
      <c r="C20" s="8">
        <v>810.01248846174735</v>
      </c>
      <c r="D20" s="8" t="str">
        <f>IF(B20=Cover!$C$5,C20," ")</f>
        <v xml:space="preserve"> </v>
      </c>
      <c r="E20" s="8">
        <v>856</v>
      </c>
      <c r="F20" s="554">
        <v>6.3380281690140844E-2</v>
      </c>
      <c r="K20" s="188"/>
      <c r="L20" s="188"/>
    </row>
    <row r="21" spans="1:12">
      <c r="A21" s="7">
        <v>27</v>
      </c>
      <c r="B21" s="7" t="s">
        <v>36</v>
      </c>
      <c r="C21" s="8">
        <v>786.50082312054144</v>
      </c>
      <c r="D21" s="8" t="str">
        <f>IF(B21=Cover!$C$5,C21," ")</f>
        <v xml:space="preserve"> </v>
      </c>
      <c r="E21" s="8">
        <v>856</v>
      </c>
      <c r="F21" s="554">
        <v>0.1348314606741573</v>
      </c>
      <c r="K21" s="188"/>
      <c r="L21" s="188"/>
    </row>
    <row r="22" spans="1:12">
      <c r="A22" s="7">
        <v>13</v>
      </c>
      <c r="B22" s="7" t="s">
        <v>34</v>
      </c>
      <c r="C22" s="8">
        <v>740.41599999999994</v>
      </c>
      <c r="D22" s="8" t="str">
        <f>IF(B22=Cover!$C$5,C22," ")</f>
        <v xml:space="preserve"> </v>
      </c>
      <c r="E22" s="8">
        <v>856</v>
      </c>
      <c r="F22" s="554">
        <v>0.14218009478672985</v>
      </c>
      <c r="K22" s="188"/>
      <c r="L22" s="188"/>
    </row>
    <row r="23" spans="1:12">
      <c r="A23" s="7">
        <v>10</v>
      </c>
      <c r="B23" s="7" t="s">
        <v>42</v>
      </c>
      <c r="C23" s="8">
        <v>705.26315789473676</v>
      </c>
      <c r="D23" s="8" t="str">
        <f>IF(B23=Cover!$C$5,C23," ")</f>
        <v xml:space="preserve"> </v>
      </c>
      <c r="E23" s="8">
        <v>856</v>
      </c>
      <c r="F23" s="554">
        <v>0.13843351548269581</v>
      </c>
      <c r="K23" s="188"/>
      <c r="L23" s="188"/>
    </row>
    <row r="24" spans="1:12">
      <c r="A24" s="7">
        <v>12</v>
      </c>
      <c r="B24" s="7" t="s">
        <v>55</v>
      </c>
      <c r="C24" s="8">
        <v>634.99099598282316</v>
      </c>
      <c r="D24" s="8" t="str">
        <f>IF(B24=Cover!$C$5,C24," ")</f>
        <v xml:space="preserve"> </v>
      </c>
      <c r="E24" s="8">
        <v>856</v>
      </c>
      <c r="F24" s="554">
        <v>0.37988826815642457</v>
      </c>
      <c r="K24" s="188"/>
      <c r="L24" s="188"/>
    </row>
    <row r="25" spans="1:12">
      <c r="A25" s="7">
        <v>23</v>
      </c>
      <c r="B25" s="7" t="s">
        <v>53</v>
      </c>
      <c r="C25" s="8">
        <v>629.95845022905644</v>
      </c>
      <c r="D25" s="8" t="str">
        <f>IF(B25=Cover!$C$5,C25," ")</f>
        <v xml:space="preserve"> </v>
      </c>
      <c r="E25" s="8">
        <v>856</v>
      </c>
      <c r="F25" s="554">
        <v>4.7244094488188976E-2</v>
      </c>
      <c r="K25" s="188"/>
      <c r="L25" s="188"/>
    </row>
    <row r="26" spans="1:12">
      <c r="A26" s="7">
        <v>24</v>
      </c>
      <c r="B26" s="7" t="s">
        <v>59</v>
      </c>
      <c r="C26" s="8">
        <v>625.56140837260875</v>
      </c>
      <c r="D26" s="8" t="str">
        <f>IF(B26=Cover!$C$5,C26," ")</f>
        <v xml:space="preserve"> </v>
      </c>
      <c r="E26" s="8">
        <v>856</v>
      </c>
      <c r="F26" s="554">
        <v>9.0909090909090912E-2</v>
      </c>
      <c r="K26" s="188"/>
      <c r="L26" s="188"/>
    </row>
    <row r="27" spans="1:12">
      <c r="A27" s="7">
        <v>2</v>
      </c>
      <c r="B27" s="7" t="s">
        <v>33</v>
      </c>
      <c r="C27" s="8">
        <v>623.73950513082491</v>
      </c>
      <c r="D27" s="8" t="str">
        <f>IF(B27=Cover!$C$5,C27," ")</f>
        <v xml:space="preserve"> </v>
      </c>
      <c r="E27" s="8">
        <v>856</v>
      </c>
      <c r="F27" s="554">
        <v>0</v>
      </c>
      <c r="K27" s="188"/>
      <c r="L27" s="188"/>
    </row>
    <row r="28" spans="1:12">
      <c r="A28" s="7">
        <v>28</v>
      </c>
      <c r="B28" s="7" t="s">
        <v>40</v>
      </c>
      <c r="C28" s="8">
        <v>608.58123032097376</v>
      </c>
      <c r="D28" s="8" t="str">
        <f>IF(B28=Cover!$C$5,C28," ")</f>
        <v xml:space="preserve"> </v>
      </c>
      <c r="E28" s="8">
        <v>856</v>
      </c>
      <c r="F28" s="554">
        <v>0.28037383177570091</v>
      </c>
      <c r="K28" s="188"/>
      <c r="L28" s="188"/>
    </row>
    <row r="29" spans="1:12">
      <c r="A29" s="7">
        <v>11</v>
      </c>
      <c r="B29" s="7" t="s">
        <v>61</v>
      </c>
      <c r="C29" s="8">
        <v>599.47849421533624</v>
      </c>
      <c r="D29" s="8" t="str">
        <f>IF(B29=Cover!$C$5,C29," ")</f>
        <v xml:space="preserve"> </v>
      </c>
      <c r="E29" s="8">
        <v>856</v>
      </c>
      <c r="F29" s="554">
        <v>8.9285714285714288E-2</v>
      </c>
      <c r="K29" s="188"/>
      <c r="L29" s="188"/>
    </row>
    <row r="30" spans="1:12">
      <c r="A30" s="7">
        <v>29</v>
      </c>
      <c r="B30" s="7" t="s">
        <v>58</v>
      </c>
      <c r="C30" s="8">
        <v>513.89759665621739</v>
      </c>
      <c r="D30" s="8" t="str">
        <f>IF(B30=Cover!$C$5,C30," ")</f>
        <v xml:space="preserve"> </v>
      </c>
      <c r="E30" s="8">
        <v>856</v>
      </c>
      <c r="F30" s="554">
        <v>6.6666666666666666E-2</v>
      </c>
      <c r="K30" s="188"/>
      <c r="L30" s="188"/>
    </row>
    <row r="31" spans="1:12">
      <c r="A31" s="7">
        <v>21</v>
      </c>
      <c r="B31" s="7" t="s">
        <v>39</v>
      </c>
      <c r="C31" s="8">
        <v>501.40162493467</v>
      </c>
      <c r="D31" s="8" t="str">
        <f>IF(B31=Cover!$C$5,C31," ")</f>
        <v xml:space="preserve"> </v>
      </c>
      <c r="E31" s="8">
        <v>856</v>
      </c>
      <c r="F31" s="554">
        <v>0.20100502512562815</v>
      </c>
      <c r="K31" s="188"/>
      <c r="L31" s="188"/>
    </row>
    <row r="32" spans="1:12">
      <c r="A32" s="7">
        <v>3</v>
      </c>
      <c r="B32" s="7" t="s">
        <v>32</v>
      </c>
      <c r="C32" s="8">
        <v>470.24548841966828</v>
      </c>
      <c r="D32" s="8" t="str">
        <f>IF(B32=Cover!$C$5,C32," ")</f>
        <v xml:space="preserve"> </v>
      </c>
      <c r="E32" s="8">
        <v>856</v>
      </c>
      <c r="F32" s="554">
        <v>0</v>
      </c>
      <c r="K32" s="188"/>
      <c r="L32" s="188"/>
    </row>
    <row r="33" spans="1:12">
      <c r="A33" s="7">
        <v>7</v>
      </c>
      <c r="B33" s="7" t="s">
        <v>51</v>
      </c>
      <c r="C33" s="8">
        <v>464.68138275718451</v>
      </c>
      <c r="D33" s="8" t="str">
        <f>IF(B33=Cover!$C$5,C33," ")</f>
        <v xml:space="preserve"> </v>
      </c>
      <c r="E33" s="8">
        <v>856</v>
      </c>
      <c r="F33" s="554">
        <v>0.17660044150110377</v>
      </c>
      <c r="K33" s="188"/>
      <c r="L33" s="188"/>
    </row>
    <row r="34" spans="1:12">
      <c r="A34" s="7">
        <v>25</v>
      </c>
      <c r="B34" s="7" t="s">
        <v>41</v>
      </c>
      <c r="C34" s="8">
        <v>379.68456084502964</v>
      </c>
      <c r="D34" s="8" t="str">
        <f>IF(B34=Cover!$C$5,C34," ")</f>
        <v xml:space="preserve"> </v>
      </c>
      <c r="E34" s="8">
        <v>856</v>
      </c>
      <c r="F34" s="554">
        <v>0.25974025974025972</v>
      </c>
      <c r="K34" s="188"/>
      <c r="L34" s="188"/>
    </row>
    <row r="35" spans="1:12">
      <c r="K35" s="188"/>
    </row>
    <row r="36" spans="1:12">
      <c r="B36" s="89" t="s">
        <v>100</v>
      </c>
      <c r="C36" s="89"/>
      <c r="D36" s="89">
        <f>SUM(D3:D34)</f>
        <v>1028.8906624102153</v>
      </c>
    </row>
    <row r="37" spans="1:12">
      <c r="B37" s="89" t="s">
        <v>68</v>
      </c>
      <c r="C37" s="89"/>
      <c r="D37" s="89">
        <f>MIN(C3:C34)</f>
        <v>379.68456084502964</v>
      </c>
    </row>
    <row r="38" spans="1:12">
      <c r="B38" s="89" t="s">
        <v>69</v>
      </c>
      <c r="C38" s="89"/>
      <c r="D38" s="89">
        <f>MAX(C3:C34)</f>
        <v>1397.4424692894934</v>
      </c>
    </row>
    <row r="39" spans="1:12">
      <c r="B39" s="89" t="s">
        <v>101</v>
      </c>
      <c r="C39" s="89"/>
      <c r="D39" s="89">
        <f>E34</f>
        <v>856</v>
      </c>
    </row>
  </sheetData>
  <sheetProtection selectLockedCells="1" selectUnlockedCells="1"/>
  <autoFilter ref="A2:E2">
    <sortState ref="A3:E34">
      <sortCondition descending="1" ref="C2"/>
    </sortState>
  </autoFilter>
  <sortState ref="K3:L34">
    <sortCondition descending="1" ref="L3:L34"/>
  </sortState>
  <phoneticPr fontId="5"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2"/>
  </sheetPr>
  <dimension ref="A2:J39"/>
  <sheetViews>
    <sheetView workbookViewId="0">
      <selection activeCell="O29" sqref="O29"/>
    </sheetView>
  </sheetViews>
  <sheetFormatPr defaultRowHeight="12.75"/>
  <cols>
    <col min="1" max="1" width="3.42578125" bestFit="1" customWidth="1"/>
    <col min="2" max="2" width="31" customWidth="1"/>
    <col min="3" max="4" width="10.5703125" customWidth="1"/>
    <col min="10" max="10" width="9.5703125" bestFit="1" customWidth="1"/>
  </cols>
  <sheetData>
    <row r="2" spans="1:10" ht="51">
      <c r="A2" s="21" t="s">
        <v>95</v>
      </c>
      <c r="B2" s="21" t="s">
        <v>26</v>
      </c>
      <c r="C2" s="10" t="s">
        <v>98</v>
      </c>
      <c r="D2" s="10"/>
      <c r="E2" s="10" t="s">
        <v>97</v>
      </c>
      <c r="I2" s="188"/>
    </row>
    <row r="3" spans="1:10">
      <c r="A3" s="7">
        <v>27</v>
      </c>
      <c r="B3" s="7" t="s">
        <v>56</v>
      </c>
      <c r="C3" s="8">
        <v>4277.845478917865</v>
      </c>
      <c r="D3" s="8" t="str">
        <f>IF(B3=Cover!$C$5,C3," ")</f>
        <v xml:space="preserve"> </v>
      </c>
      <c r="E3" s="8">
        <v>1853</v>
      </c>
      <c r="I3" s="188"/>
      <c r="J3" s="188"/>
    </row>
    <row r="4" spans="1:10">
      <c r="A4" s="7">
        <v>23</v>
      </c>
      <c r="B4" s="7" t="s">
        <v>52</v>
      </c>
      <c r="C4" s="8">
        <v>2958.114035087719</v>
      </c>
      <c r="D4" s="8" t="str">
        <f>IF(B4=Cover!$C$5,C4," ")</f>
        <v xml:space="preserve"> </v>
      </c>
      <c r="E4" s="8">
        <v>1853</v>
      </c>
      <c r="I4" s="188"/>
      <c r="J4" s="188"/>
    </row>
    <row r="5" spans="1:10">
      <c r="A5" s="7">
        <v>13</v>
      </c>
      <c r="B5" s="7" t="s">
        <v>42</v>
      </c>
      <c r="C5" s="8">
        <v>2837.8550909671244</v>
      </c>
      <c r="D5" s="8" t="str">
        <f>IF(B5=Cover!$C$5,C5," ")</f>
        <v xml:space="preserve"> </v>
      </c>
      <c r="E5" s="8">
        <v>1853</v>
      </c>
      <c r="I5" s="188"/>
      <c r="J5" s="188"/>
    </row>
    <row r="6" spans="1:10">
      <c r="A6" s="7">
        <v>16</v>
      </c>
      <c r="B6" s="7" t="s">
        <v>45</v>
      </c>
      <c r="C6" s="8">
        <v>2658.2803428255461</v>
      </c>
      <c r="D6" s="8" t="str">
        <f>IF(B6=Cover!$C$5,C6," ")</f>
        <v xml:space="preserve"> </v>
      </c>
      <c r="E6" s="8">
        <v>1853</v>
      </c>
      <c r="I6" s="188"/>
      <c r="J6" s="188"/>
    </row>
    <row r="7" spans="1:10">
      <c r="A7" s="7">
        <v>31</v>
      </c>
      <c r="B7" s="7" t="s">
        <v>60</v>
      </c>
      <c r="C7" s="8">
        <v>2366.4604279453465</v>
      </c>
      <c r="D7" s="8" t="str">
        <f>IF(B7=Cover!$C$5,C7," ")</f>
        <v xml:space="preserve"> </v>
      </c>
      <c r="E7" s="8">
        <v>1853</v>
      </c>
      <c r="I7" s="188"/>
      <c r="J7" s="188"/>
    </row>
    <row r="8" spans="1:10">
      <c r="A8" s="7">
        <v>18</v>
      </c>
      <c r="B8" s="7" t="s">
        <v>47</v>
      </c>
      <c r="C8" s="8">
        <v>2193.454309786131</v>
      </c>
      <c r="D8" s="8" t="str">
        <f>IF(B8=Cover!$C$5,C8," ")</f>
        <v xml:space="preserve"> </v>
      </c>
      <c r="E8" s="8">
        <v>1853</v>
      </c>
      <c r="I8" s="188"/>
      <c r="J8" s="188"/>
    </row>
    <row r="9" spans="1:10">
      <c r="A9" s="7">
        <v>1</v>
      </c>
      <c r="B9" s="7" t="s">
        <v>140</v>
      </c>
      <c r="C9" s="8">
        <v>2173.9022094246634</v>
      </c>
      <c r="D9" s="8" t="str">
        <f>IF(B9=Cover!$C$5,C9," ")</f>
        <v xml:space="preserve"> </v>
      </c>
      <c r="E9" s="8">
        <v>1853</v>
      </c>
      <c r="I9" s="188"/>
      <c r="J9" s="188"/>
    </row>
    <row r="10" spans="1:10">
      <c r="A10" s="7">
        <v>21</v>
      </c>
      <c r="B10" s="7" t="s">
        <v>37</v>
      </c>
      <c r="C10" s="8">
        <v>2084.8956490979836</v>
      </c>
      <c r="D10" s="8" t="str">
        <f>IF(B10=Cover!$C$5,C10," ")</f>
        <v xml:space="preserve"> </v>
      </c>
      <c r="E10" s="8">
        <v>1853</v>
      </c>
      <c r="I10" s="188"/>
      <c r="J10" s="188"/>
    </row>
    <row r="11" spans="1:10">
      <c r="A11" s="7">
        <v>7</v>
      </c>
      <c r="B11" s="7" t="s">
        <v>31</v>
      </c>
      <c r="C11" s="8">
        <v>2080.6513807729953</v>
      </c>
      <c r="D11" s="8">
        <f>IF(B11=Cover!$C$5,C11," ")</f>
        <v>2080.6513807729953</v>
      </c>
      <c r="E11" s="8">
        <v>1853</v>
      </c>
      <c r="I11" s="188"/>
      <c r="J11" s="188"/>
    </row>
    <row r="12" spans="1:10">
      <c r="A12" s="7">
        <v>12</v>
      </c>
      <c r="B12" s="7" t="s">
        <v>39</v>
      </c>
      <c r="C12" s="8">
        <v>2071.168878385748</v>
      </c>
      <c r="D12" s="8" t="str">
        <f>IF(B12=Cover!$C$5,C12," ")</f>
        <v xml:space="preserve"> </v>
      </c>
      <c r="E12" s="8">
        <v>1853</v>
      </c>
      <c r="I12" s="188"/>
      <c r="J12" s="188"/>
    </row>
    <row r="13" spans="1:10">
      <c r="A13" s="7">
        <v>9</v>
      </c>
      <c r="B13" s="7" t="s">
        <v>50</v>
      </c>
      <c r="C13" s="8">
        <v>2049.6889943551573</v>
      </c>
      <c r="D13" s="8" t="str">
        <f>IF(B13=Cover!$C$5,C13," ")</f>
        <v xml:space="preserve"> </v>
      </c>
      <c r="E13" s="8">
        <v>1853</v>
      </c>
      <c r="I13" s="188"/>
      <c r="J13" s="188"/>
    </row>
    <row r="14" spans="1:10">
      <c r="A14" s="7">
        <v>14</v>
      </c>
      <c r="B14" s="7" t="s">
        <v>35</v>
      </c>
      <c r="C14" s="8">
        <v>1832.7974276527329</v>
      </c>
      <c r="D14" s="8" t="str">
        <f>IF(B14=Cover!$C$5,C14," ")</f>
        <v xml:space="preserve"> </v>
      </c>
      <c r="E14" s="8">
        <v>1853</v>
      </c>
      <c r="I14" s="188"/>
      <c r="J14" s="188"/>
    </row>
    <row r="15" spans="1:10">
      <c r="A15" s="7">
        <v>5</v>
      </c>
      <c r="B15" s="7" t="s">
        <v>54</v>
      </c>
      <c r="C15" s="8">
        <v>1831.911949280726</v>
      </c>
      <c r="D15" s="8" t="str">
        <f>IF(B15=Cover!$C$5,C15," ")</f>
        <v xml:space="preserve"> </v>
      </c>
      <c r="E15" s="8">
        <v>1853</v>
      </c>
      <c r="I15" s="188"/>
      <c r="J15" s="188"/>
    </row>
    <row r="16" spans="1:10">
      <c r="A16" s="7">
        <v>8</v>
      </c>
      <c r="B16" s="7" t="s">
        <v>43</v>
      </c>
      <c r="C16" s="8">
        <v>1791.6084430389058</v>
      </c>
      <c r="D16" s="8" t="str">
        <f>IF(B16=Cover!$C$5,C16," ")</f>
        <v xml:space="preserve"> </v>
      </c>
      <c r="E16" s="8">
        <v>1853</v>
      </c>
      <c r="I16" s="188"/>
      <c r="J16" s="188"/>
    </row>
    <row r="17" spans="1:10">
      <c r="A17" s="7">
        <v>25</v>
      </c>
      <c r="B17" s="7" t="s">
        <v>38</v>
      </c>
      <c r="C17" s="8">
        <v>1788.7002675790675</v>
      </c>
      <c r="D17" s="8" t="str">
        <f>IF(B17=Cover!$C$5,C17," ")</f>
        <v xml:space="preserve"> </v>
      </c>
      <c r="E17" s="8">
        <v>1853</v>
      </c>
      <c r="I17" s="188"/>
      <c r="J17" s="188"/>
    </row>
    <row r="18" spans="1:10">
      <c r="A18" s="7">
        <v>28</v>
      </c>
      <c r="B18" s="7" t="s">
        <v>58</v>
      </c>
      <c r="C18" s="8">
        <v>1777.4211282342301</v>
      </c>
      <c r="D18" s="8" t="str">
        <f>IF(B18=Cover!$C$5,C18," ")</f>
        <v xml:space="preserve"> </v>
      </c>
      <c r="E18" s="8">
        <v>1853</v>
      </c>
      <c r="I18" s="188"/>
      <c r="J18" s="188"/>
    </row>
    <row r="19" spans="1:10">
      <c r="A19" s="7">
        <v>29</v>
      </c>
      <c r="B19" s="7" t="s">
        <v>57</v>
      </c>
      <c r="C19" s="8">
        <v>1776.8742255266418</v>
      </c>
      <c r="D19" s="8" t="str">
        <f>IF(B19=Cover!$C$5,C19," ")</f>
        <v xml:space="preserve"> </v>
      </c>
      <c r="E19" s="8">
        <v>1853</v>
      </c>
      <c r="I19" s="188"/>
      <c r="J19" s="188"/>
    </row>
    <row r="20" spans="1:10">
      <c r="A20" s="7">
        <v>19</v>
      </c>
      <c r="B20" s="7" t="s">
        <v>34</v>
      </c>
      <c r="C20" s="8">
        <v>1750.8244422890398</v>
      </c>
      <c r="D20" s="8" t="str">
        <f>IF(B20=Cover!$C$5,C20," ")</f>
        <v xml:space="preserve"> </v>
      </c>
      <c r="E20" s="8">
        <v>1853</v>
      </c>
      <c r="I20" s="188"/>
      <c r="J20" s="188"/>
    </row>
    <row r="21" spans="1:10">
      <c r="A21" s="7">
        <v>4</v>
      </c>
      <c r="B21" s="7" t="s">
        <v>32</v>
      </c>
      <c r="C21" s="8">
        <v>1738.7561964849033</v>
      </c>
      <c r="D21" s="8" t="str">
        <f>IF(B21=Cover!$C$5,C21," ")</f>
        <v xml:space="preserve"> </v>
      </c>
      <c r="E21" s="8">
        <v>1853</v>
      </c>
      <c r="I21" s="188"/>
      <c r="J21" s="188"/>
    </row>
    <row r="22" spans="1:10">
      <c r="A22" s="7">
        <v>3</v>
      </c>
      <c r="B22" s="7" t="s">
        <v>48</v>
      </c>
      <c r="C22" s="8">
        <v>1698.9431968295905</v>
      </c>
      <c r="D22" s="8" t="str">
        <f>IF(B22=Cover!$C$5,C22," ")</f>
        <v xml:space="preserve"> </v>
      </c>
      <c r="E22" s="8">
        <v>1853</v>
      </c>
      <c r="I22" s="188"/>
      <c r="J22" s="188"/>
    </row>
    <row r="23" spans="1:10">
      <c r="A23" s="7">
        <v>2</v>
      </c>
      <c r="B23" s="7" t="s">
        <v>51</v>
      </c>
      <c r="C23" s="8">
        <v>1692.7849307644872</v>
      </c>
      <c r="D23" s="8" t="str">
        <f>IF(B23=Cover!$C$5,C23," ")</f>
        <v xml:space="preserve"> </v>
      </c>
      <c r="E23" s="8">
        <v>1853</v>
      </c>
      <c r="I23" s="188"/>
      <c r="J23" s="188"/>
    </row>
    <row r="24" spans="1:10">
      <c r="A24" s="7">
        <v>30</v>
      </c>
      <c r="B24" s="7" t="s">
        <v>41</v>
      </c>
      <c r="C24" s="8">
        <v>1658.5379981464318</v>
      </c>
      <c r="D24" s="8" t="str">
        <f>IF(B24=Cover!$C$5,C24," ")</f>
        <v xml:space="preserve"> </v>
      </c>
      <c r="E24" s="8">
        <v>1853</v>
      </c>
      <c r="I24" s="188"/>
      <c r="J24" s="188"/>
    </row>
    <row r="25" spans="1:10">
      <c r="A25" s="7">
        <v>22</v>
      </c>
      <c r="B25" s="7" t="s">
        <v>33</v>
      </c>
      <c r="C25" s="8">
        <v>1635.7772435897434</v>
      </c>
      <c r="D25" s="8" t="str">
        <f>IF(B25=Cover!$C$5,C25," ")</f>
        <v xml:space="preserve"> </v>
      </c>
      <c r="E25" s="8">
        <v>1853</v>
      </c>
      <c r="I25" s="188"/>
      <c r="J25" s="188"/>
    </row>
    <row r="26" spans="1:10">
      <c r="A26" s="7">
        <v>11</v>
      </c>
      <c r="B26" s="7" t="s">
        <v>44</v>
      </c>
      <c r="C26" s="8">
        <v>1591.3121594992465</v>
      </c>
      <c r="D26" s="8" t="str">
        <f>IF(B26=Cover!$C$5,C26," ")</f>
        <v xml:space="preserve"> </v>
      </c>
      <c r="E26" s="8">
        <v>1853</v>
      </c>
      <c r="I26" s="188"/>
      <c r="J26" s="188"/>
    </row>
    <row r="27" spans="1:10">
      <c r="A27" s="7">
        <v>26</v>
      </c>
      <c r="B27" s="7" t="s">
        <v>36</v>
      </c>
      <c r="C27" s="8">
        <v>1572.3950899229233</v>
      </c>
      <c r="D27" s="8" t="str">
        <f>IF(B27=Cover!$C$5,C27," ")</f>
        <v xml:space="preserve"> </v>
      </c>
      <c r="E27" s="8">
        <v>1853</v>
      </c>
      <c r="I27" s="188"/>
      <c r="J27" s="188"/>
    </row>
    <row r="28" spans="1:10">
      <c r="A28" s="7">
        <v>6</v>
      </c>
      <c r="B28" s="7" t="s">
        <v>59</v>
      </c>
      <c r="C28" s="8">
        <v>1548.3053913882522</v>
      </c>
      <c r="D28" s="8" t="str">
        <f>IF(B28=Cover!$C$5,C28," ")</f>
        <v xml:space="preserve"> </v>
      </c>
      <c r="E28" s="8">
        <v>1853</v>
      </c>
      <c r="I28" s="188"/>
      <c r="J28" s="188"/>
    </row>
    <row r="29" spans="1:10">
      <c r="A29" s="7">
        <v>15</v>
      </c>
      <c r="B29" s="7" t="s">
        <v>40</v>
      </c>
      <c r="C29" s="8">
        <v>1518.3246073298428</v>
      </c>
      <c r="D29" s="8" t="str">
        <f>IF(B29=Cover!$C$5,C29," ")</f>
        <v xml:space="preserve"> </v>
      </c>
      <c r="E29" s="8">
        <v>1853</v>
      </c>
      <c r="I29" s="188"/>
      <c r="J29" s="188"/>
    </row>
    <row r="30" spans="1:10">
      <c r="A30" s="7">
        <v>20</v>
      </c>
      <c r="B30" s="7" t="s">
        <v>49</v>
      </c>
      <c r="C30" s="8">
        <v>1506.5743195714517</v>
      </c>
      <c r="D30" s="8" t="str">
        <f>IF(B30=Cover!$C$5,C30," ")</f>
        <v xml:space="preserve"> </v>
      </c>
      <c r="E30" s="8">
        <v>1853</v>
      </c>
      <c r="I30" s="188"/>
      <c r="J30" s="188"/>
    </row>
    <row r="31" spans="1:10">
      <c r="A31" s="7">
        <v>32</v>
      </c>
      <c r="B31" s="7" t="s">
        <v>61</v>
      </c>
      <c r="C31" s="8">
        <v>1496.6256148244177</v>
      </c>
      <c r="D31" s="8" t="str">
        <f>IF(B31=Cover!$C$5,C31," ")</f>
        <v xml:space="preserve"> </v>
      </c>
      <c r="E31" s="8">
        <v>1853</v>
      </c>
      <c r="I31" s="188"/>
      <c r="J31" s="188"/>
    </row>
    <row r="32" spans="1:10">
      <c r="A32" s="7">
        <v>24</v>
      </c>
      <c r="B32" s="7" t="s">
        <v>55</v>
      </c>
      <c r="C32" s="8">
        <v>1471.4030036573029</v>
      </c>
      <c r="D32" s="8" t="str">
        <f>IF(B32=Cover!$C$5,C32," ")</f>
        <v xml:space="preserve"> </v>
      </c>
      <c r="E32" s="8">
        <v>1853</v>
      </c>
      <c r="I32" s="188"/>
      <c r="J32" s="188"/>
    </row>
    <row r="33" spans="1:10">
      <c r="A33" s="7">
        <v>10</v>
      </c>
      <c r="B33" s="7" t="s">
        <v>53</v>
      </c>
      <c r="C33" s="8">
        <v>1392.8470143374823</v>
      </c>
      <c r="D33" s="8" t="str">
        <f>IF(B33=Cover!$C$5,C33," ")</f>
        <v xml:space="preserve"> </v>
      </c>
      <c r="E33" s="8">
        <v>1853</v>
      </c>
      <c r="I33" s="188"/>
      <c r="J33" s="188"/>
    </row>
    <row r="34" spans="1:10">
      <c r="A34" s="7">
        <v>17</v>
      </c>
      <c r="B34" s="7" t="s">
        <v>46</v>
      </c>
      <c r="C34" s="8">
        <v>1172.2996927440322</v>
      </c>
      <c r="D34" s="8" t="str">
        <f>IF(B34=Cover!$C$5,C34," ")</f>
        <v xml:space="preserve"> </v>
      </c>
      <c r="E34" s="8">
        <v>1853</v>
      </c>
      <c r="J34" s="188"/>
    </row>
    <row r="35" spans="1:10">
      <c r="J35" s="188"/>
    </row>
    <row r="36" spans="1:10">
      <c r="B36" s="89" t="s">
        <v>100</v>
      </c>
      <c r="C36" s="89"/>
      <c r="D36" s="89">
        <f>SUM(D3:D34)</f>
        <v>2080.6513807729953</v>
      </c>
    </row>
    <row r="37" spans="1:10">
      <c r="B37" s="89" t="s">
        <v>68</v>
      </c>
      <c r="C37" s="89"/>
      <c r="D37" s="89">
        <f>MIN(C3:C34)</f>
        <v>1172.2996927440322</v>
      </c>
    </row>
    <row r="38" spans="1:10">
      <c r="B38" s="89" t="s">
        <v>69</v>
      </c>
      <c r="C38" s="89"/>
      <c r="D38" s="89">
        <f>MAX(C3:C34)</f>
        <v>4277.845478917865</v>
      </c>
    </row>
    <row r="39" spans="1:10">
      <c r="B39" s="89" t="s">
        <v>101</v>
      </c>
      <c r="C39" s="89"/>
      <c r="D39" s="89">
        <f>E34</f>
        <v>1853</v>
      </c>
    </row>
  </sheetData>
  <sheetProtection selectLockedCells="1" selectUnlockedCells="1"/>
  <autoFilter ref="B2:E2">
    <sortState ref="B3:E34">
      <sortCondition descending="1" ref="C2"/>
    </sortState>
  </autoFilter>
  <sortState ref="H2:I34">
    <sortCondition descending="1" ref="I2:I34"/>
  </sortState>
  <phoneticPr fontId="5"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2"/>
  </sheetPr>
  <dimension ref="A2:I39"/>
  <sheetViews>
    <sheetView workbookViewId="0">
      <selection activeCell="I30" sqref="I30"/>
    </sheetView>
  </sheetViews>
  <sheetFormatPr defaultRowHeight="12.75"/>
  <cols>
    <col min="1" max="1" width="3.42578125" bestFit="1" customWidth="1"/>
    <col min="2" max="2" width="31" customWidth="1"/>
    <col min="3" max="4" width="10.5703125" customWidth="1"/>
  </cols>
  <sheetData>
    <row r="2" spans="1:9" ht="51">
      <c r="A2" s="21" t="s">
        <v>95</v>
      </c>
      <c r="B2" s="21" t="s">
        <v>26</v>
      </c>
      <c r="C2" s="10" t="s">
        <v>98</v>
      </c>
      <c r="D2" s="10"/>
      <c r="E2" s="10" t="s">
        <v>97</v>
      </c>
    </row>
    <row r="3" spans="1:9">
      <c r="A3" s="7">
        <v>5</v>
      </c>
      <c r="B3" s="7" t="s">
        <v>56</v>
      </c>
      <c r="C3" s="8">
        <v>425.15224472454327</v>
      </c>
      <c r="D3" s="8" t="str">
        <f>IF(B3=Cover!$C$5,C3," ")</f>
        <v xml:space="preserve"> </v>
      </c>
      <c r="E3" s="8">
        <v>48</v>
      </c>
      <c r="I3" s="188"/>
    </row>
    <row r="4" spans="1:9">
      <c r="A4" s="7">
        <v>32</v>
      </c>
      <c r="B4" s="7" t="s">
        <v>55</v>
      </c>
      <c r="C4" s="8">
        <v>281.5632476302959</v>
      </c>
      <c r="D4" s="8" t="str">
        <f>IF(B4=Cover!$C$5,C4," ")</f>
        <v xml:space="preserve"> </v>
      </c>
      <c r="E4" s="8">
        <v>48</v>
      </c>
      <c r="I4" s="188"/>
    </row>
    <row r="5" spans="1:9">
      <c r="A5" s="7">
        <v>14</v>
      </c>
      <c r="B5" s="7" t="s">
        <v>34</v>
      </c>
      <c r="C5" s="8">
        <v>280.14845943876048</v>
      </c>
      <c r="D5" s="8" t="str">
        <f>IF(B5=Cover!$C$5,C5," ")</f>
        <v xml:space="preserve"> </v>
      </c>
      <c r="E5" s="8">
        <v>48</v>
      </c>
      <c r="I5" s="188"/>
    </row>
    <row r="6" spans="1:9">
      <c r="A6" s="7">
        <v>24</v>
      </c>
      <c r="B6" s="7" t="s">
        <v>36</v>
      </c>
      <c r="C6" s="8">
        <v>268.9659143251958</v>
      </c>
      <c r="D6" s="8" t="str">
        <f>IF(B6=Cover!$C$5,C6," ")</f>
        <v xml:space="preserve"> </v>
      </c>
      <c r="E6" s="8">
        <v>48</v>
      </c>
      <c r="I6" s="188"/>
    </row>
    <row r="7" spans="1:9">
      <c r="A7" s="7">
        <v>3</v>
      </c>
      <c r="B7" s="7" t="s">
        <v>40</v>
      </c>
      <c r="C7" s="8">
        <v>268.67401060791514</v>
      </c>
      <c r="D7" s="8" t="str">
        <f>IF(B7=Cover!$C$5,C7," ")</f>
        <v xml:space="preserve"> </v>
      </c>
      <c r="E7" s="8">
        <v>48</v>
      </c>
      <c r="I7" s="188"/>
    </row>
    <row r="8" spans="1:9">
      <c r="A8" s="7">
        <v>16</v>
      </c>
      <c r="B8" s="7" t="s">
        <v>32</v>
      </c>
      <c r="C8" s="8">
        <v>258.37688479907979</v>
      </c>
      <c r="D8" s="8" t="str">
        <f>IF(B8=Cover!$C$5,C8," ")</f>
        <v xml:space="preserve"> </v>
      </c>
      <c r="E8" s="8">
        <v>48</v>
      </c>
      <c r="I8" s="188"/>
    </row>
    <row r="9" spans="1:9">
      <c r="A9" s="7">
        <v>19</v>
      </c>
      <c r="B9" s="7" t="s">
        <v>57</v>
      </c>
      <c r="C9" s="8">
        <v>258.12147967727208</v>
      </c>
      <c r="D9" s="8" t="str">
        <f>IF(B9=Cover!$C$5,C9," ")</f>
        <v xml:space="preserve"> </v>
      </c>
      <c r="E9" s="8">
        <v>48</v>
      </c>
      <c r="I9" s="188"/>
    </row>
    <row r="10" spans="1:9">
      <c r="A10" s="7">
        <v>17</v>
      </c>
      <c r="B10" s="7" t="s">
        <v>52</v>
      </c>
      <c r="C10" s="8">
        <v>257.89146322500392</v>
      </c>
      <c r="D10" s="8" t="str">
        <f>IF(B10=Cover!$C$5,C10," ")</f>
        <v xml:space="preserve"> </v>
      </c>
      <c r="E10" s="8">
        <v>48</v>
      </c>
      <c r="I10" s="188"/>
    </row>
    <row r="11" spans="1:9">
      <c r="A11" s="7">
        <v>29</v>
      </c>
      <c r="B11" s="7" t="s">
        <v>44</v>
      </c>
      <c r="C11" s="8">
        <v>252.41003720131633</v>
      </c>
      <c r="D11" s="8" t="str">
        <f>IF(B11=Cover!$C$5,C11," ")</f>
        <v xml:space="preserve"> </v>
      </c>
      <c r="E11" s="8">
        <v>48</v>
      </c>
      <c r="I11" s="188"/>
    </row>
    <row r="12" spans="1:9">
      <c r="A12" s="7">
        <v>21</v>
      </c>
      <c r="B12" s="7" t="s">
        <v>39</v>
      </c>
      <c r="C12" s="8">
        <v>241.42469750551072</v>
      </c>
      <c r="D12" s="8" t="str">
        <f>IF(B12=Cover!$C$5,C12," ")</f>
        <v xml:space="preserve"> </v>
      </c>
      <c r="E12" s="8">
        <v>48</v>
      </c>
      <c r="I12" s="188"/>
    </row>
    <row r="13" spans="1:9">
      <c r="A13" s="7">
        <v>12</v>
      </c>
      <c r="B13" s="7" t="s">
        <v>42</v>
      </c>
      <c r="C13" s="8">
        <v>241.35962965311688</v>
      </c>
      <c r="D13" s="8" t="str">
        <f>IF(B13=Cover!$C$5,C13," ")</f>
        <v xml:space="preserve"> </v>
      </c>
      <c r="E13" s="8">
        <v>48</v>
      </c>
      <c r="I13" s="188"/>
    </row>
    <row r="14" spans="1:9">
      <c r="A14" s="7">
        <v>18</v>
      </c>
      <c r="B14" s="7" t="s">
        <v>41</v>
      </c>
      <c r="C14" s="8">
        <v>239.87175210348789</v>
      </c>
      <c r="D14" s="8" t="str">
        <f>IF(B14=Cover!$C$5,C14," ")</f>
        <v xml:space="preserve"> </v>
      </c>
      <c r="E14" s="8">
        <v>48</v>
      </c>
      <c r="I14" s="188"/>
    </row>
    <row r="15" spans="1:9">
      <c r="A15" s="7">
        <v>1</v>
      </c>
      <c r="B15" s="7" t="s">
        <v>37</v>
      </c>
      <c r="C15" s="8">
        <v>234.96826312752452</v>
      </c>
      <c r="D15" s="8" t="str">
        <f>IF(B15=Cover!$C$5,C15," ")</f>
        <v xml:space="preserve"> </v>
      </c>
      <c r="E15" s="8">
        <v>48</v>
      </c>
      <c r="I15" s="188"/>
    </row>
    <row r="16" spans="1:9">
      <c r="A16" s="7">
        <v>30</v>
      </c>
      <c r="B16" s="7" t="s">
        <v>60</v>
      </c>
      <c r="C16" s="8">
        <v>222.77949702984384</v>
      </c>
      <c r="D16" s="8" t="str">
        <f>IF(B16=Cover!$C$5,C16," ")</f>
        <v xml:space="preserve"> </v>
      </c>
      <c r="E16" s="8">
        <v>48</v>
      </c>
      <c r="I16" s="188"/>
    </row>
    <row r="17" spans="1:9">
      <c r="A17" s="7">
        <v>25</v>
      </c>
      <c r="B17" s="7" t="s">
        <v>51</v>
      </c>
      <c r="C17" s="8">
        <v>212.25512485316963</v>
      </c>
      <c r="D17" s="8" t="str">
        <f>IF(B17=Cover!$C$5,C17," ")</f>
        <v xml:space="preserve"> </v>
      </c>
      <c r="E17" s="8">
        <v>48</v>
      </c>
      <c r="I17" s="188"/>
    </row>
    <row r="18" spans="1:9">
      <c r="A18" s="7">
        <v>20</v>
      </c>
      <c r="B18" s="86" t="s">
        <v>54</v>
      </c>
      <c r="C18" s="8">
        <v>210.88221998763802</v>
      </c>
      <c r="D18" s="8" t="str">
        <f>IF(B18=Cover!$C$5,C18," ")</f>
        <v xml:space="preserve"> </v>
      </c>
      <c r="E18" s="8">
        <v>48</v>
      </c>
      <c r="I18" s="188"/>
    </row>
    <row r="19" spans="1:9">
      <c r="A19" s="7">
        <v>22</v>
      </c>
      <c r="B19" s="7" t="s">
        <v>38</v>
      </c>
      <c r="C19" s="8">
        <v>209.49836350277204</v>
      </c>
      <c r="D19" s="8" t="str">
        <f>IF(B19=Cover!$C$5,C19," ")</f>
        <v xml:space="preserve"> </v>
      </c>
      <c r="E19" s="8">
        <v>48</v>
      </c>
      <c r="I19" s="188"/>
    </row>
    <row r="20" spans="1:9">
      <c r="A20" s="7">
        <v>7</v>
      </c>
      <c r="B20" s="7" t="s">
        <v>46</v>
      </c>
      <c r="C20" s="8">
        <v>203.72346902959148</v>
      </c>
      <c r="D20" s="8" t="str">
        <f>IF(B20=Cover!$C$5,C20," ")</f>
        <v xml:space="preserve"> </v>
      </c>
      <c r="E20" s="8">
        <v>48</v>
      </c>
      <c r="I20" s="188"/>
    </row>
    <row r="21" spans="1:9">
      <c r="A21" s="7">
        <v>31</v>
      </c>
      <c r="B21" s="7" t="s">
        <v>31</v>
      </c>
      <c r="C21" s="8">
        <v>200.49764857864693</v>
      </c>
      <c r="D21" s="8">
        <f>IF(B21=Cover!$C$5,C21," ")</f>
        <v>200.49764857864693</v>
      </c>
      <c r="E21" s="8">
        <v>48</v>
      </c>
      <c r="I21" s="188"/>
    </row>
    <row r="22" spans="1:9">
      <c r="A22" s="7">
        <v>13</v>
      </c>
      <c r="B22" s="7" t="s">
        <v>48</v>
      </c>
      <c r="C22" s="8">
        <v>198.00689919509389</v>
      </c>
      <c r="D22" s="8" t="str">
        <f>IF(B22=Cover!$C$5,C22," ")</f>
        <v xml:space="preserve"> </v>
      </c>
      <c r="E22" s="8">
        <v>48</v>
      </c>
      <c r="I22" s="188"/>
    </row>
    <row r="23" spans="1:9">
      <c r="A23" s="7">
        <v>11</v>
      </c>
      <c r="B23" s="7" t="s">
        <v>140</v>
      </c>
      <c r="C23" s="8">
        <v>191.26761911599303</v>
      </c>
      <c r="D23" s="8" t="str">
        <f>IF(B23=Cover!$C$5,C23," ")</f>
        <v xml:space="preserve"> </v>
      </c>
      <c r="E23" s="8">
        <v>48</v>
      </c>
      <c r="I23" s="188"/>
    </row>
    <row r="24" spans="1:9">
      <c r="A24" s="7">
        <v>8</v>
      </c>
      <c r="B24" s="7" t="s">
        <v>59</v>
      </c>
      <c r="C24" s="8">
        <v>187.29817007534984</v>
      </c>
      <c r="D24" s="8" t="str">
        <f>IF(B24=Cover!$C$5,C24," ")</f>
        <v xml:space="preserve"> </v>
      </c>
      <c r="E24" s="8">
        <v>48</v>
      </c>
      <c r="I24" s="188"/>
    </row>
    <row r="25" spans="1:9">
      <c r="A25" s="7">
        <v>10</v>
      </c>
      <c r="B25" s="7" t="s">
        <v>58</v>
      </c>
      <c r="C25" s="8">
        <v>186.36951730274561</v>
      </c>
      <c r="D25" s="8" t="str">
        <f>IF(B25=Cover!$C$5,C25," ")</f>
        <v xml:space="preserve"> </v>
      </c>
      <c r="E25" s="8">
        <v>48</v>
      </c>
      <c r="I25" s="188"/>
    </row>
    <row r="26" spans="1:9">
      <c r="A26" s="7">
        <v>15</v>
      </c>
      <c r="B26" s="7" t="s">
        <v>53</v>
      </c>
      <c r="C26" s="8">
        <v>183.86712771384842</v>
      </c>
      <c r="D26" s="8" t="str">
        <f>IF(B26=Cover!$C$5,C26," ")</f>
        <v xml:space="preserve"> </v>
      </c>
      <c r="E26" s="8">
        <v>48</v>
      </c>
      <c r="I26" s="188"/>
    </row>
    <row r="27" spans="1:9">
      <c r="A27" s="7">
        <v>9</v>
      </c>
      <c r="B27" s="7" t="s">
        <v>50</v>
      </c>
      <c r="C27" s="8">
        <v>183.45133288185681</v>
      </c>
      <c r="D27" s="8" t="str">
        <f>IF(B27=Cover!$C$5,C27," ")</f>
        <v xml:space="preserve"> </v>
      </c>
      <c r="E27" s="8">
        <v>48</v>
      </c>
      <c r="I27" s="188"/>
    </row>
    <row r="28" spans="1:9">
      <c r="A28" s="7">
        <v>6</v>
      </c>
      <c r="B28" s="7" t="s">
        <v>43</v>
      </c>
      <c r="C28" s="8">
        <v>182.85421994884911</v>
      </c>
      <c r="D28" s="8" t="str">
        <f>IF(B28=Cover!$C$5,C28," ")</f>
        <v xml:space="preserve"> </v>
      </c>
      <c r="E28" s="8">
        <v>48</v>
      </c>
      <c r="I28" s="188"/>
    </row>
    <row r="29" spans="1:9">
      <c r="A29" s="7">
        <v>2</v>
      </c>
      <c r="B29" s="7" t="s">
        <v>47</v>
      </c>
      <c r="C29" s="8">
        <v>181.53170553194951</v>
      </c>
      <c r="D29" s="8" t="str">
        <f>IF(B29=Cover!$C$5,C29," ")</f>
        <v xml:space="preserve"> </v>
      </c>
      <c r="E29" s="8">
        <v>48</v>
      </c>
      <c r="I29" s="188"/>
    </row>
    <row r="30" spans="1:9">
      <c r="A30" s="7">
        <v>28</v>
      </c>
      <c r="B30" s="7" t="s">
        <v>49</v>
      </c>
      <c r="C30" s="8">
        <v>180.62536373736839</v>
      </c>
      <c r="D30" s="8" t="str">
        <f>IF(B30=Cover!$C$5,C30," ")</f>
        <v xml:space="preserve"> </v>
      </c>
      <c r="E30" s="8">
        <v>48</v>
      </c>
      <c r="I30" s="188"/>
    </row>
    <row r="31" spans="1:9">
      <c r="A31" s="7">
        <v>4</v>
      </c>
      <c r="B31" s="7" t="s">
        <v>33</v>
      </c>
      <c r="C31" s="8">
        <v>169.36190086986983</v>
      </c>
      <c r="D31" s="8" t="str">
        <f>IF(B31=Cover!$C$5,C31," ")</f>
        <v xml:space="preserve"> </v>
      </c>
      <c r="E31" s="8">
        <v>48</v>
      </c>
      <c r="I31" s="188"/>
    </row>
    <row r="32" spans="1:9">
      <c r="A32" s="7">
        <v>23</v>
      </c>
      <c r="B32" s="7" t="s">
        <v>45</v>
      </c>
      <c r="C32" s="8">
        <v>168.64559037139534</v>
      </c>
      <c r="D32" s="8" t="str">
        <f>IF(B32=Cover!$C$5,C32," ")</f>
        <v xml:space="preserve"> </v>
      </c>
      <c r="E32" s="8">
        <v>48</v>
      </c>
      <c r="I32" s="188"/>
    </row>
    <row r="33" spans="1:9">
      <c r="A33" s="7">
        <v>26</v>
      </c>
      <c r="B33" s="7" t="s">
        <v>61</v>
      </c>
      <c r="C33" s="8">
        <v>146.86162560283753</v>
      </c>
      <c r="D33" s="8" t="str">
        <f>IF(B33=Cover!$C$5,C33," ")</f>
        <v xml:space="preserve"> </v>
      </c>
      <c r="E33" s="8">
        <v>48</v>
      </c>
      <c r="I33" s="188"/>
    </row>
    <row r="34" spans="1:9">
      <c r="A34" s="7">
        <v>27</v>
      </c>
      <c r="B34" s="7" t="s">
        <v>35</v>
      </c>
      <c r="C34" s="8">
        <v>140.41258674778973</v>
      </c>
      <c r="D34" s="8" t="str">
        <f>IF(B34=Cover!$C$5,C34," ")</f>
        <v xml:space="preserve"> </v>
      </c>
      <c r="E34" s="8">
        <v>48</v>
      </c>
      <c r="I34" s="188"/>
    </row>
    <row r="36" spans="1:9">
      <c r="B36" s="89" t="s">
        <v>100</v>
      </c>
      <c r="C36" s="89"/>
      <c r="D36" s="89">
        <f>SUM(D3:D34)</f>
        <v>200.49764857864693</v>
      </c>
    </row>
    <row r="37" spans="1:9">
      <c r="B37" s="89" t="s">
        <v>68</v>
      </c>
      <c r="C37" s="89"/>
      <c r="D37" s="89">
        <f>MIN(C3:C34)</f>
        <v>140.41258674778973</v>
      </c>
    </row>
    <row r="38" spans="1:9">
      <c r="B38" s="89" t="s">
        <v>69</v>
      </c>
      <c r="C38" s="89"/>
      <c r="D38" s="89">
        <f>MAX(C3:C34)</f>
        <v>425.15224472454327</v>
      </c>
    </row>
    <row r="39" spans="1:9">
      <c r="B39" s="89" t="s">
        <v>101</v>
      </c>
      <c r="C39" s="89"/>
      <c r="D39" s="89">
        <f>E34</f>
        <v>48</v>
      </c>
    </row>
  </sheetData>
  <sheetProtection selectLockedCells="1" selectUnlockedCells="1"/>
  <autoFilter ref="A2:E2">
    <sortState ref="A3:E34">
      <sortCondition ref="C2"/>
    </sortState>
  </autoFilter>
  <sortState ref="B3:C34">
    <sortCondition descending="1" ref="C3:C34"/>
  </sortState>
  <phoneticPr fontId="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2"/>
  </sheetPr>
  <dimension ref="A2:J39"/>
  <sheetViews>
    <sheetView workbookViewId="0">
      <selection activeCell="H25" sqref="H25:H26"/>
    </sheetView>
  </sheetViews>
  <sheetFormatPr defaultRowHeight="12.75"/>
  <cols>
    <col min="1" max="1" width="4" bestFit="1" customWidth="1"/>
    <col min="2" max="2" width="31" customWidth="1"/>
    <col min="3" max="4" width="10.5703125" customWidth="1"/>
  </cols>
  <sheetData>
    <row r="2" spans="1:10" ht="51">
      <c r="A2" s="21" t="s">
        <v>95</v>
      </c>
      <c r="B2" s="21" t="s">
        <v>26</v>
      </c>
      <c r="C2" s="10" t="s">
        <v>98</v>
      </c>
      <c r="D2" s="10"/>
      <c r="E2" s="10" t="s">
        <v>97</v>
      </c>
    </row>
    <row r="3" spans="1:10">
      <c r="A3" s="7">
        <v>17</v>
      </c>
      <c r="B3" s="7" t="s">
        <v>56</v>
      </c>
      <c r="C3" s="8">
        <v>105.86319218241043</v>
      </c>
      <c r="D3" s="8" t="str">
        <f>IF(B3=Cover!$C$5,C3," ")</f>
        <v xml:space="preserve"> </v>
      </c>
      <c r="E3" s="8">
        <v>28</v>
      </c>
      <c r="J3" s="188"/>
    </row>
    <row r="4" spans="1:10">
      <c r="A4" s="7">
        <v>15</v>
      </c>
      <c r="B4" s="7" t="s">
        <v>35</v>
      </c>
      <c r="C4" s="8">
        <v>66.102607979212223</v>
      </c>
      <c r="D4" s="8" t="str">
        <f>IF(B4=Cover!$C$5,C4," ")</f>
        <v xml:space="preserve"> </v>
      </c>
      <c r="E4" s="8">
        <v>28</v>
      </c>
      <c r="J4" s="188"/>
    </row>
    <row r="5" spans="1:10">
      <c r="A5" s="7">
        <v>16</v>
      </c>
      <c r="B5" s="7" t="s">
        <v>51</v>
      </c>
      <c r="C5" s="8">
        <v>59.01633132507294</v>
      </c>
      <c r="D5" s="8" t="str">
        <f>IF(B5=Cover!$C$5,C5," ")</f>
        <v xml:space="preserve"> </v>
      </c>
      <c r="E5" s="8">
        <v>28</v>
      </c>
      <c r="J5" s="188"/>
    </row>
    <row r="6" spans="1:10">
      <c r="A6" s="7">
        <v>1</v>
      </c>
      <c r="B6" s="7" t="s">
        <v>43</v>
      </c>
      <c r="C6" s="8">
        <v>58.342710997442452</v>
      </c>
      <c r="D6" s="8" t="str">
        <f>IF(B6=Cover!$C$5,C6," ")</f>
        <v xml:space="preserve"> </v>
      </c>
      <c r="E6" s="8">
        <v>28</v>
      </c>
      <c r="J6" s="188"/>
    </row>
    <row r="7" spans="1:10">
      <c r="A7" s="7">
        <v>22</v>
      </c>
      <c r="B7" s="7" t="s">
        <v>36</v>
      </c>
      <c r="C7" s="8">
        <v>57.715338553661908</v>
      </c>
      <c r="D7" s="8" t="str">
        <f>IF(B7=Cover!$C$5,C7," ")</f>
        <v xml:space="preserve"> </v>
      </c>
      <c r="E7" s="8">
        <v>28</v>
      </c>
      <c r="J7" s="188"/>
    </row>
    <row r="8" spans="1:10">
      <c r="A8" s="7">
        <v>26</v>
      </c>
      <c r="B8" s="7" t="s">
        <v>31</v>
      </c>
      <c r="C8" s="8">
        <v>56.599571080381061</v>
      </c>
      <c r="D8" s="8">
        <f>IF(B8=Cover!$C$5,C8," ")</f>
        <v>56.599571080381061</v>
      </c>
      <c r="E8" s="8">
        <v>28</v>
      </c>
      <c r="J8" s="188"/>
    </row>
    <row r="9" spans="1:10">
      <c r="A9" s="7">
        <v>27</v>
      </c>
      <c r="B9" s="7" t="s">
        <v>47</v>
      </c>
      <c r="C9" s="8">
        <v>55.400817289121107</v>
      </c>
      <c r="D9" s="8" t="str">
        <f>IF(B9=Cover!$C$5,C9," ")</f>
        <v xml:space="preserve"> </v>
      </c>
      <c r="E9" s="8">
        <v>28</v>
      </c>
      <c r="J9" s="188"/>
    </row>
    <row r="10" spans="1:10">
      <c r="A10" s="7">
        <v>18</v>
      </c>
      <c r="B10" s="7" t="s">
        <v>57</v>
      </c>
      <c r="C10" s="8">
        <v>54.696300806819913</v>
      </c>
      <c r="D10" s="8" t="str">
        <f>IF(B10=Cover!$C$5,C10," ")</f>
        <v xml:space="preserve"> </v>
      </c>
      <c r="E10" s="8">
        <v>28</v>
      </c>
      <c r="J10" s="188"/>
    </row>
    <row r="11" spans="1:10">
      <c r="A11" s="7">
        <v>14</v>
      </c>
      <c r="B11" s="7" t="s">
        <v>34</v>
      </c>
      <c r="C11" s="8">
        <v>53.767452820925712</v>
      </c>
      <c r="D11" s="8" t="str">
        <f>IF(B11=Cover!$C$5,C11," ")</f>
        <v xml:space="preserve"> </v>
      </c>
      <c r="E11" s="8">
        <v>28</v>
      </c>
      <c r="J11" s="188"/>
    </row>
    <row r="12" spans="1:10">
      <c r="A12" s="7">
        <v>25</v>
      </c>
      <c r="B12" s="7" t="s">
        <v>45</v>
      </c>
      <c r="C12" s="8">
        <v>53.574720243025432</v>
      </c>
      <c r="D12" s="8" t="str">
        <f>IF(B12=Cover!$C$5,C12," ")</f>
        <v xml:space="preserve"> </v>
      </c>
      <c r="E12" s="8">
        <v>28</v>
      </c>
      <c r="J12" s="188"/>
    </row>
    <row r="13" spans="1:10">
      <c r="A13" s="7">
        <v>3</v>
      </c>
      <c r="B13" s="7" t="s">
        <v>39</v>
      </c>
      <c r="C13" s="8">
        <v>50.650977655846113</v>
      </c>
      <c r="D13" s="8" t="str">
        <f>IF(B13=Cover!$C$5,C13," ")</f>
        <v xml:space="preserve"> </v>
      </c>
      <c r="E13" s="8">
        <v>28</v>
      </c>
      <c r="J13" s="188"/>
    </row>
    <row r="14" spans="1:10">
      <c r="A14" s="7">
        <v>10</v>
      </c>
      <c r="B14" s="7" t="s">
        <v>60</v>
      </c>
      <c r="C14" s="8">
        <v>50.528225376160492</v>
      </c>
      <c r="D14" s="8" t="str">
        <f>IF(B14=Cover!$C$5,C14," ")</f>
        <v xml:space="preserve"> </v>
      </c>
      <c r="E14" s="8">
        <v>28</v>
      </c>
      <c r="J14" s="188"/>
    </row>
    <row r="15" spans="1:10">
      <c r="A15" s="7">
        <v>8</v>
      </c>
      <c r="B15" s="7" t="s">
        <v>37</v>
      </c>
      <c r="C15" s="8">
        <v>49.635419398835438</v>
      </c>
      <c r="D15" s="8" t="str">
        <f>IF(B15=Cover!$C$5,C15," ")</f>
        <v xml:space="preserve"> </v>
      </c>
      <c r="E15" s="8">
        <v>28</v>
      </c>
      <c r="J15" s="188"/>
    </row>
    <row r="16" spans="1:10">
      <c r="A16" s="7">
        <v>7</v>
      </c>
      <c r="B16" s="7" t="s">
        <v>53</v>
      </c>
      <c r="C16" s="8">
        <v>48.897454792812198</v>
      </c>
      <c r="D16" s="8" t="str">
        <f>IF(B16=Cover!$C$5,C16," ")</f>
        <v xml:space="preserve"> </v>
      </c>
      <c r="E16" s="8">
        <v>28</v>
      </c>
      <c r="J16" s="188"/>
    </row>
    <row r="17" spans="1:10">
      <c r="A17" s="7">
        <v>4</v>
      </c>
      <c r="B17" s="7" t="s">
        <v>46</v>
      </c>
      <c r="C17" s="8">
        <v>48.301946261129935</v>
      </c>
      <c r="D17" s="8" t="str">
        <f>IF(B17=Cover!$C$5,C17," ")</f>
        <v xml:space="preserve"> </v>
      </c>
      <c r="E17" s="8">
        <v>28</v>
      </c>
      <c r="J17" s="188"/>
    </row>
    <row r="18" spans="1:10">
      <c r="A18" s="7">
        <v>28</v>
      </c>
      <c r="B18" s="7" t="s">
        <v>140</v>
      </c>
      <c r="C18" s="8">
        <v>47.463924186948091</v>
      </c>
      <c r="D18" s="8" t="str">
        <f>IF(B18=Cover!$C$5,C18," ")</f>
        <v xml:space="preserve"> </v>
      </c>
      <c r="E18" s="8">
        <v>28</v>
      </c>
      <c r="J18" s="188"/>
    </row>
    <row r="19" spans="1:10">
      <c r="A19" s="7">
        <v>29</v>
      </c>
      <c r="B19" s="7" t="s">
        <v>41</v>
      </c>
      <c r="C19" s="8">
        <v>47.351643871159048</v>
      </c>
      <c r="D19" s="8" t="str">
        <f>IF(B19=Cover!$C$5,C19," ")</f>
        <v xml:space="preserve"> </v>
      </c>
      <c r="E19" s="8">
        <v>28</v>
      </c>
      <c r="J19" s="188"/>
    </row>
    <row r="20" spans="1:10">
      <c r="A20" s="7">
        <v>31</v>
      </c>
      <c r="B20" s="7" t="s">
        <v>44</v>
      </c>
      <c r="C20" s="8">
        <v>47.096329947059665</v>
      </c>
      <c r="D20" s="8" t="str">
        <f>IF(B20=Cover!$C$5,C20," ")</f>
        <v xml:space="preserve"> </v>
      </c>
      <c r="E20" s="8">
        <v>28</v>
      </c>
      <c r="J20" s="188"/>
    </row>
    <row r="21" spans="1:10">
      <c r="A21" s="7">
        <v>30</v>
      </c>
      <c r="B21" s="7" t="s">
        <v>59</v>
      </c>
      <c r="C21" s="8">
        <v>46.639256030634037</v>
      </c>
      <c r="D21" s="8" t="str">
        <f>IF(B21=Cover!$C$5,C21," ")</f>
        <v xml:space="preserve"> </v>
      </c>
      <c r="E21" s="8">
        <v>28</v>
      </c>
      <c r="J21" s="188"/>
    </row>
    <row r="22" spans="1:10">
      <c r="A22" s="7">
        <v>11</v>
      </c>
      <c r="B22" s="7" t="s">
        <v>54</v>
      </c>
      <c r="C22" s="8">
        <v>45.06582285487606</v>
      </c>
      <c r="D22" s="8" t="str">
        <f>IF(B22=Cover!$C$5,C22," ")</f>
        <v xml:space="preserve"> </v>
      </c>
      <c r="E22" s="8">
        <v>28</v>
      </c>
      <c r="J22" s="188"/>
    </row>
    <row r="23" spans="1:10">
      <c r="A23" s="7">
        <v>21</v>
      </c>
      <c r="B23" s="7" t="s">
        <v>38</v>
      </c>
      <c r="C23" s="8">
        <v>45.007013559548462</v>
      </c>
      <c r="D23" s="8" t="str">
        <f>IF(B23=Cover!$C$5,C23," ")</f>
        <v xml:space="preserve"> </v>
      </c>
      <c r="E23" s="8">
        <v>28</v>
      </c>
      <c r="J23" s="188"/>
    </row>
    <row r="24" spans="1:10">
      <c r="A24" s="7">
        <v>32</v>
      </c>
      <c r="B24" s="7" t="s">
        <v>55</v>
      </c>
      <c r="C24" s="8">
        <v>43.245207595166718</v>
      </c>
      <c r="D24" s="8" t="str">
        <f>IF(B24=Cover!$C$5,C24," ")</f>
        <v xml:space="preserve"> </v>
      </c>
      <c r="E24" s="8">
        <v>28</v>
      </c>
      <c r="J24" s="188"/>
    </row>
    <row r="25" spans="1:10">
      <c r="A25" s="7">
        <v>20</v>
      </c>
      <c r="B25" s="7" t="s">
        <v>42</v>
      </c>
      <c r="C25" s="8">
        <v>42.551842222081298</v>
      </c>
      <c r="D25" s="8" t="str">
        <f>IF(B25=Cover!$C$5,C25," ")</f>
        <v xml:space="preserve"> </v>
      </c>
      <c r="E25" s="8">
        <v>28</v>
      </c>
      <c r="J25" s="188"/>
    </row>
    <row r="26" spans="1:10">
      <c r="A26" s="7">
        <v>23</v>
      </c>
      <c r="B26" s="7" t="s">
        <v>49</v>
      </c>
      <c r="C26" s="8">
        <v>39.433539671622313</v>
      </c>
      <c r="D26" s="8" t="str">
        <f>IF(B26=Cover!$C$5,C26," ")</f>
        <v xml:space="preserve"> </v>
      </c>
      <c r="E26" s="8">
        <v>28</v>
      </c>
      <c r="J26" s="188"/>
    </row>
    <row r="27" spans="1:10">
      <c r="A27" s="7">
        <v>24</v>
      </c>
      <c r="B27" s="7" t="s">
        <v>52</v>
      </c>
      <c r="C27" s="8">
        <v>38.252215829575491</v>
      </c>
      <c r="D27" s="8" t="str">
        <f>IF(B27=Cover!$C$5,C27," ")</f>
        <v xml:space="preserve"> </v>
      </c>
      <c r="E27" s="8">
        <v>28</v>
      </c>
      <c r="J27" s="188"/>
    </row>
    <row r="28" spans="1:10">
      <c r="A28" s="7">
        <v>6</v>
      </c>
      <c r="B28" s="86" t="s">
        <v>50</v>
      </c>
      <c r="C28" s="8">
        <v>38.108723757926491</v>
      </c>
      <c r="D28" s="8" t="str">
        <f>IF(B28=Cover!$C$5,C28," ")</f>
        <v xml:space="preserve"> </v>
      </c>
      <c r="E28" s="8">
        <v>28</v>
      </c>
      <c r="J28" s="188"/>
    </row>
    <row r="29" spans="1:10">
      <c r="A29" s="7">
        <v>12</v>
      </c>
      <c r="B29" s="7" t="s">
        <v>61</v>
      </c>
      <c r="C29" s="8">
        <v>38.047756494358438</v>
      </c>
      <c r="D29" s="8" t="str">
        <f>IF(B29=Cover!$C$5,C29," ")</f>
        <v xml:space="preserve"> </v>
      </c>
      <c r="E29" s="8">
        <v>28</v>
      </c>
      <c r="J29" s="188"/>
    </row>
    <row r="30" spans="1:10">
      <c r="A30" s="7">
        <v>19</v>
      </c>
      <c r="B30" s="7" t="s">
        <v>58</v>
      </c>
      <c r="C30" s="8">
        <v>34.825387247055694</v>
      </c>
      <c r="D30" s="8" t="str">
        <f>IF(B30=Cover!$C$5,C30," ")</f>
        <v xml:space="preserve"> </v>
      </c>
      <c r="E30" s="8">
        <v>28</v>
      </c>
      <c r="J30" s="188"/>
    </row>
    <row r="31" spans="1:10">
      <c r="A31" s="7">
        <v>9</v>
      </c>
      <c r="B31" s="7" t="s">
        <v>40</v>
      </c>
      <c r="C31" s="8">
        <v>34.663402692778455</v>
      </c>
      <c r="D31" s="8" t="str">
        <f>IF(B31=Cover!$C$5,C31," ")</f>
        <v xml:space="preserve"> </v>
      </c>
      <c r="E31" s="8">
        <v>28</v>
      </c>
      <c r="J31" s="188"/>
    </row>
    <row r="32" spans="1:10">
      <c r="A32" s="7">
        <v>2</v>
      </c>
      <c r="B32" s="7" t="s">
        <v>48</v>
      </c>
      <c r="C32" s="8">
        <v>33.173629743196628</v>
      </c>
      <c r="D32" s="8" t="str">
        <f>IF(B32=Cover!$C$5,C32," ")</f>
        <v xml:space="preserve"> </v>
      </c>
      <c r="E32" s="8">
        <v>28</v>
      </c>
      <c r="J32" s="188"/>
    </row>
    <row r="33" spans="1:10">
      <c r="A33" s="7">
        <v>13</v>
      </c>
      <c r="B33" s="7" t="s">
        <v>33</v>
      </c>
      <c r="C33" s="8">
        <v>31.802790589059494</v>
      </c>
      <c r="D33" s="8" t="str">
        <f>IF(B33=Cover!$C$5,C33," ")</f>
        <v xml:space="preserve"> </v>
      </c>
      <c r="E33" s="8">
        <v>28</v>
      </c>
      <c r="J33" s="188"/>
    </row>
    <row r="34" spans="1:10">
      <c r="A34" s="7">
        <v>5</v>
      </c>
      <c r="B34" s="7" t="s">
        <v>32</v>
      </c>
      <c r="C34" s="8">
        <v>31.669625665774795</v>
      </c>
      <c r="D34" s="8" t="str">
        <f>IF(B34=Cover!$C$5,C34," ")</f>
        <v xml:space="preserve"> </v>
      </c>
      <c r="E34" s="8">
        <v>28</v>
      </c>
      <c r="J34" s="188"/>
    </row>
    <row r="35" spans="1:10">
      <c r="C35" s="119"/>
      <c r="J35" s="188"/>
    </row>
    <row r="36" spans="1:10">
      <c r="B36" s="89" t="s">
        <v>100</v>
      </c>
      <c r="C36" s="89"/>
      <c r="D36" s="89">
        <f>SUM(D3:D34)</f>
        <v>56.599571080381061</v>
      </c>
    </row>
    <row r="37" spans="1:10">
      <c r="B37" s="89" t="s">
        <v>68</v>
      </c>
      <c r="C37" s="89"/>
      <c r="D37" s="89">
        <f>MIN(C3:C34)</f>
        <v>31.669625665774795</v>
      </c>
    </row>
    <row r="38" spans="1:10">
      <c r="B38" s="89" t="s">
        <v>69</v>
      </c>
      <c r="C38" s="89"/>
      <c r="D38" s="89">
        <f>MAX(C3:C34)</f>
        <v>105.86319218241043</v>
      </c>
    </row>
    <row r="39" spans="1:10">
      <c r="B39" s="89" t="s">
        <v>101</v>
      </c>
      <c r="C39" s="89"/>
      <c r="D39" s="89">
        <f>E34</f>
        <v>28</v>
      </c>
    </row>
  </sheetData>
  <sheetProtection selectLockedCells="1" selectUnlockedCells="1"/>
  <autoFilter ref="A2:E2">
    <sortState ref="A3:E34">
      <sortCondition descending="1" ref="C2"/>
    </sortState>
  </autoFilter>
  <sortState ref="I3:J34">
    <sortCondition descending="1" ref="J3:J34"/>
  </sortState>
  <phoneticPr fontId="5"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2"/>
  </sheetPr>
  <dimension ref="A2:I41"/>
  <sheetViews>
    <sheetView workbookViewId="0">
      <selection activeCell="L23" sqref="L23"/>
    </sheetView>
  </sheetViews>
  <sheetFormatPr defaultRowHeight="12.75"/>
  <cols>
    <col min="1" max="1" width="3.42578125" bestFit="1" customWidth="1"/>
    <col min="2" max="2" width="31" customWidth="1"/>
    <col min="3" max="4" width="10.5703125" customWidth="1"/>
  </cols>
  <sheetData>
    <row r="2" spans="1:9" ht="51">
      <c r="A2" s="21" t="s">
        <v>95</v>
      </c>
      <c r="B2" s="21" t="s">
        <v>26</v>
      </c>
      <c r="C2" s="10" t="s">
        <v>98</v>
      </c>
      <c r="D2" s="10"/>
      <c r="E2" s="10" t="s">
        <v>97</v>
      </c>
    </row>
    <row r="3" spans="1:9">
      <c r="A3" s="7">
        <v>16</v>
      </c>
      <c r="B3" s="7" t="s">
        <v>45</v>
      </c>
      <c r="C3" s="8">
        <v>61.985248395683151</v>
      </c>
      <c r="D3" s="8" t="str">
        <f>IF(B3=Cover!$C$5,C3," ")</f>
        <v xml:space="preserve"> </v>
      </c>
      <c r="E3" s="8">
        <v>21</v>
      </c>
      <c r="I3" s="188"/>
    </row>
    <row r="4" spans="1:9">
      <c r="A4" s="7">
        <v>27</v>
      </c>
      <c r="B4" s="7" t="s">
        <v>56</v>
      </c>
      <c r="C4" s="8">
        <v>51.338337345984989</v>
      </c>
      <c r="D4" s="8" t="str">
        <f>IF(B4=Cover!$C$5,C4," ")</f>
        <v xml:space="preserve"> </v>
      </c>
      <c r="E4" s="8">
        <v>21</v>
      </c>
      <c r="I4" s="188"/>
    </row>
    <row r="5" spans="1:9">
      <c r="A5" s="7">
        <v>18</v>
      </c>
      <c r="B5" s="7" t="s">
        <v>47</v>
      </c>
      <c r="C5" s="8">
        <v>42.307926891251753</v>
      </c>
      <c r="D5" s="8" t="str">
        <f>IF(B5=Cover!$C$5,C5," ")</f>
        <v xml:space="preserve"> </v>
      </c>
      <c r="E5" s="8">
        <v>21</v>
      </c>
      <c r="I5" s="188"/>
    </row>
    <row r="6" spans="1:9">
      <c r="A6" s="7">
        <v>31</v>
      </c>
      <c r="B6" s="7" t="s">
        <v>60</v>
      </c>
      <c r="C6" s="8">
        <v>29.630420090349659</v>
      </c>
      <c r="D6" s="8" t="str">
        <f>IF(B6=Cover!$C$5,C6," ")</f>
        <v xml:space="preserve"> </v>
      </c>
      <c r="E6" s="8">
        <v>21</v>
      </c>
      <c r="I6" s="188"/>
    </row>
    <row r="7" spans="1:9">
      <c r="A7" s="7">
        <v>21</v>
      </c>
      <c r="B7" s="7" t="s">
        <v>140</v>
      </c>
      <c r="C7" s="8">
        <v>23.877043099528564</v>
      </c>
      <c r="D7" s="8" t="str">
        <f>IF(B7=Cover!$C$5,C7," ")</f>
        <v xml:space="preserve"> </v>
      </c>
      <c r="E7" s="8">
        <v>21</v>
      </c>
      <c r="I7" s="188"/>
    </row>
    <row r="8" spans="1:9">
      <c r="A8" s="7">
        <v>12</v>
      </c>
      <c r="B8" s="7" t="s">
        <v>48</v>
      </c>
      <c r="C8" s="8">
        <v>22.24990417784592</v>
      </c>
      <c r="D8" s="8" t="str">
        <f>IF(B8=Cover!$C$5,C8," ")</f>
        <v xml:space="preserve"> </v>
      </c>
      <c r="E8" s="8">
        <v>21</v>
      </c>
      <c r="I8" s="188"/>
    </row>
    <row r="9" spans="1:9">
      <c r="A9" s="7">
        <v>5</v>
      </c>
      <c r="B9" s="7" t="s">
        <v>37</v>
      </c>
      <c r="C9" s="8">
        <v>21.727954676598646</v>
      </c>
      <c r="D9" s="8" t="str">
        <f>IF(B9=Cover!$C$5,C9," ")</f>
        <v xml:space="preserve"> </v>
      </c>
      <c r="E9" s="8">
        <v>21</v>
      </c>
      <c r="I9" s="188"/>
    </row>
    <row r="10" spans="1:9">
      <c r="A10" s="7">
        <v>11</v>
      </c>
      <c r="B10" s="86" t="s">
        <v>46</v>
      </c>
      <c r="C10" s="8">
        <v>21.002714880265902</v>
      </c>
      <c r="D10" s="8" t="str">
        <f>IF(B10=Cover!$C$5,C10," ")</f>
        <v xml:space="preserve"> </v>
      </c>
      <c r="E10" s="8">
        <v>21</v>
      </c>
      <c r="I10" s="188"/>
    </row>
    <row r="11" spans="1:9">
      <c r="A11" s="7">
        <v>25</v>
      </c>
      <c r="B11" s="7" t="s">
        <v>50</v>
      </c>
      <c r="C11" s="8">
        <v>20.636581912208335</v>
      </c>
      <c r="D11" s="8" t="str">
        <f>IF(B11=Cover!$C$5,C11," ")</f>
        <v xml:space="preserve"> </v>
      </c>
      <c r="E11" s="8">
        <v>21</v>
      </c>
      <c r="I11" s="188"/>
    </row>
    <row r="12" spans="1:9">
      <c r="A12" s="7">
        <v>9</v>
      </c>
      <c r="B12" s="7" t="s">
        <v>54</v>
      </c>
      <c r="C12" s="8">
        <v>20.424919508842496</v>
      </c>
      <c r="D12" s="8" t="str">
        <f>IF(B12=Cover!$C$5,C12," ")</f>
        <v xml:space="preserve"> </v>
      </c>
      <c r="E12" s="8">
        <v>21</v>
      </c>
      <c r="I12" s="188"/>
    </row>
    <row r="13" spans="1:9">
      <c r="A13" s="7">
        <v>10</v>
      </c>
      <c r="B13" s="7" t="s">
        <v>41</v>
      </c>
      <c r="C13" s="8">
        <v>20.089699395826386</v>
      </c>
      <c r="D13" s="8" t="str">
        <f>IF(B13=Cover!$C$5,C13," ")</f>
        <v xml:space="preserve"> </v>
      </c>
      <c r="E13" s="8">
        <v>21</v>
      </c>
      <c r="I13" s="188"/>
    </row>
    <row r="14" spans="1:9">
      <c r="A14" s="7">
        <v>20</v>
      </c>
      <c r="B14" s="7" t="s">
        <v>49</v>
      </c>
      <c r="C14" s="8">
        <v>19.522776572668114</v>
      </c>
      <c r="D14" s="8" t="str">
        <f>IF(B14=Cover!$C$5,C14," ")</f>
        <v xml:space="preserve"> </v>
      </c>
      <c r="E14" s="8">
        <v>21</v>
      </c>
      <c r="I14" s="188"/>
    </row>
    <row r="15" spans="1:9">
      <c r="A15" s="7">
        <v>1</v>
      </c>
      <c r="B15" s="7" t="s">
        <v>35</v>
      </c>
      <c r="C15" s="8">
        <v>18.537883829261339</v>
      </c>
      <c r="D15" s="8" t="str">
        <f>IF(B15=Cover!$C$5,C15," ")</f>
        <v xml:space="preserve"> </v>
      </c>
      <c r="E15" s="8">
        <v>21</v>
      </c>
      <c r="I15" s="188"/>
    </row>
    <row r="16" spans="1:9">
      <c r="A16" s="7">
        <v>4</v>
      </c>
      <c r="B16" s="7" t="s">
        <v>31</v>
      </c>
      <c r="C16" s="8">
        <v>16.889505469679712</v>
      </c>
      <c r="D16" s="8">
        <f>IF(B16=Cover!$C$5,C16," ")</f>
        <v>16.889505469679712</v>
      </c>
      <c r="E16" s="8">
        <v>21</v>
      </c>
      <c r="I16" s="188"/>
    </row>
    <row r="17" spans="1:9">
      <c r="A17" s="7">
        <v>7</v>
      </c>
      <c r="B17" s="7" t="s">
        <v>44</v>
      </c>
      <c r="C17" s="8">
        <v>16.718235799112893</v>
      </c>
      <c r="D17" s="8" t="str">
        <f>IF(B17=Cover!$C$5,C17," ")</f>
        <v xml:space="preserve"> </v>
      </c>
      <c r="E17" s="8">
        <v>21</v>
      </c>
      <c r="I17" s="188"/>
    </row>
    <row r="18" spans="1:9">
      <c r="A18" s="7">
        <v>3</v>
      </c>
      <c r="B18" s="7" t="s">
        <v>39</v>
      </c>
      <c r="C18" s="8">
        <v>14.843242043165924</v>
      </c>
      <c r="D18" s="8" t="str">
        <f>IF(B18=Cover!$C$5,C18," ")</f>
        <v xml:space="preserve"> </v>
      </c>
      <c r="E18" s="8">
        <v>21</v>
      </c>
      <c r="I18" s="188"/>
    </row>
    <row r="19" spans="1:9">
      <c r="A19" s="7">
        <v>2</v>
      </c>
      <c r="B19" s="7" t="s">
        <v>33</v>
      </c>
      <c r="C19" s="8">
        <v>14.536750540019849</v>
      </c>
      <c r="D19" s="8" t="str">
        <f>IF(B19=Cover!$C$5,C19," ")</f>
        <v xml:space="preserve"> </v>
      </c>
      <c r="E19" s="8">
        <v>21</v>
      </c>
      <c r="I19" s="188"/>
    </row>
    <row r="20" spans="1:9">
      <c r="A20" s="7">
        <v>19</v>
      </c>
      <c r="B20" s="7" t="s">
        <v>57</v>
      </c>
      <c r="C20" s="8">
        <v>13.518039275384382</v>
      </c>
      <c r="D20" s="8" t="str">
        <f>IF(B20=Cover!$C$5,C20," ")</f>
        <v xml:space="preserve"> </v>
      </c>
      <c r="E20" s="8">
        <v>21</v>
      </c>
      <c r="I20" s="188"/>
    </row>
    <row r="21" spans="1:9">
      <c r="A21" s="7">
        <v>28</v>
      </c>
      <c r="B21" s="7" t="s">
        <v>32</v>
      </c>
      <c r="C21" s="8">
        <v>13.12795378960266</v>
      </c>
      <c r="D21" s="8" t="str">
        <f>IF(B21=Cover!$C$5,C21," ")</f>
        <v xml:space="preserve"> </v>
      </c>
      <c r="E21" s="8">
        <v>21</v>
      </c>
      <c r="I21" s="188"/>
    </row>
    <row r="22" spans="1:9">
      <c r="A22" s="7">
        <v>24</v>
      </c>
      <c r="B22" s="7" t="s">
        <v>34</v>
      </c>
      <c r="C22" s="8">
        <v>13.117844588889108</v>
      </c>
      <c r="D22" s="8" t="str">
        <f>IF(B22=Cover!$C$5,C22," ")</f>
        <v xml:space="preserve"> </v>
      </c>
      <c r="E22" s="8">
        <v>21</v>
      </c>
      <c r="I22" s="188"/>
    </row>
    <row r="23" spans="1:9">
      <c r="A23" s="7">
        <v>13</v>
      </c>
      <c r="B23" s="7" t="s">
        <v>40</v>
      </c>
      <c r="C23" s="8">
        <v>12.011423908608732</v>
      </c>
      <c r="D23" s="8" t="str">
        <f>IF(B23=Cover!$C$5,C23," ")</f>
        <v xml:space="preserve"> </v>
      </c>
      <c r="E23" s="8">
        <v>21</v>
      </c>
      <c r="I23" s="188"/>
    </row>
    <row r="24" spans="1:9">
      <c r="A24" s="7">
        <v>22</v>
      </c>
      <c r="B24" s="7" t="s">
        <v>53</v>
      </c>
      <c r="C24" s="8">
        <v>11.892749844113146</v>
      </c>
      <c r="D24" s="8" t="str">
        <f>IF(B24=Cover!$C$5,C24," ")</f>
        <v xml:space="preserve"> </v>
      </c>
      <c r="E24" s="8">
        <v>21</v>
      </c>
      <c r="I24" s="188"/>
    </row>
    <row r="25" spans="1:9">
      <c r="A25" s="7">
        <v>30</v>
      </c>
      <c r="B25" s="7" t="s">
        <v>59</v>
      </c>
      <c r="C25" s="8">
        <v>9.9348850341456529</v>
      </c>
      <c r="D25" s="8" t="str">
        <f>IF(B25=Cover!$C$5,C25," ")</f>
        <v xml:space="preserve"> </v>
      </c>
      <c r="E25" s="8">
        <v>21</v>
      </c>
      <c r="I25" s="188"/>
    </row>
    <row r="26" spans="1:9">
      <c r="A26" s="7">
        <v>8</v>
      </c>
      <c r="B26" s="7" t="s">
        <v>38</v>
      </c>
      <c r="C26" s="8">
        <v>9.9258566562019901</v>
      </c>
      <c r="D26" s="8" t="str">
        <f>IF(B26=Cover!$C$5,C26," ")</f>
        <v xml:space="preserve"> </v>
      </c>
      <c r="E26" s="8">
        <v>21</v>
      </c>
      <c r="I26" s="188"/>
    </row>
    <row r="27" spans="1:9">
      <c r="A27" s="7">
        <v>15</v>
      </c>
      <c r="B27" s="7" t="s">
        <v>42</v>
      </c>
      <c r="C27" s="8">
        <v>9.5757498890227666</v>
      </c>
      <c r="D27" s="8" t="str">
        <f>IF(B27=Cover!$C$5,C27," ")</f>
        <v xml:space="preserve"> </v>
      </c>
      <c r="E27" s="8">
        <v>21</v>
      </c>
      <c r="I27" s="188"/>
    </row>
    <row r="28" spans="1:9">
      <c r="A28" s="7">
        <v>29</v>
      </c>
      <c r="B28" s="7" t="s">
        <v>51</v>
      </c>
      <c r="C28" s="8">
        <v>8.6250994657269526</v>
      </c>
      <c r="D28" s="8" t="str">
        <f>IF(B28=Cover!$C$5,C28," ")</f>
        <v xml:space="preserve"> </v>
      </c>
      <c r="E28" s="8">
        <v>21</v>
      </c>
      <c r="I28" s="188"/>
    </row>
    <row r="29" spans="1:9">
      <c r="A29" s="7">
        <v>32</v>
      </c>
      <c r="B29" s="7" t="s">
        <v>43</v>
      </c>
      <c r="C29" s="8">
        <v>8.5115089514066486</v>
      </c>
      <c r="D29" s="8" t="str">
        <f>IF(B29=Cover!$C$5,C29," ")</f>
        <v xml:space="preserve"> </v>
      </c>
      <c r="E29" s="8">
        <v>21</v>
      </c>
      <c r="I29" s="188"/>
    </row>
    <row r="30" spans="1:9">
      <c r="A30" s="7">
        <v>26</v>
      </c>
      <c r="B30" s="7" t="s">
        <v>58</v>
      </c>
      <c r="C30" s="8">
        <v>8.3765028356354225</v>
      </c>
      <c r="D30" s="8" t="str">
        <f>IF(B30=Cover!$C$5,C30," ")</f>
        <v xml:space="preserve"> </v>
      </c>
      <c r="E30" s="8">
        <v>21</v>
      </c>
      <c r="I30" s="188"/>
    </row>
    <row r="31" spans="1:9">
      <c r="A31" s="7">
        <v>17</v>
      </c>
      <c r="B31" s="7" t="s">
        <v>61</v>
      </c>
      <c r="C31" s="8">
        <v>5.5375093875261268</v>
      </c>
      <c r="D31" s="8" t="str">
        <f>IF(B31=Cover!$C$5,C31," ")</f>
        <v xml:space="preserve"> </v>
      </c>
      <c r="E31" s="8">
        <v>21</v>
      </c>
      <c r="I31" s="188"/>
    </row>
    <row r="32" spans="1:9">
      <c r="A32" s="7">
        <v>6</v>
      </c>
      <c r="B32" s="7" t="s">
        <v>55</v>
      </c>
      <c r="C32" s="8">
        <v>4.7091244965325094</v>
      </c>
      <c r="D32" s="8" t="str">
        <f>IF(B32=Cover!$C$5,C32," ")</f>
        <v xml:space="preserve"> </v>
      </c>
      <c r="E32" s="8">
        <v>21</v>
      </c>
      <c r="I32" s="188"/>
    </row>
    <row r="33" spans="1:9">
      <c r="A33" s="7">
        <v>14</v>
      </c>
      <c r="B33" s="7" t="s">
        <v>52</v>
      </c>
      <c r="C33" s="8">
        <v>3.8874203078836884</v>
      </c>
      <c r="D33" s="8" t="str">
        <f>IF(B33=Cover!$C$5,C33," ")</f>
        <v xml:space="preserve"> </v>
      </c>
      <c r="E33" s="8">
        <v>21</v>
      </c>
      <c r="I33" s="188"/>
    </row>
    <row r="34" spans="1:9">
      <c r="A34" s="7">
        <v>23</v>
      </c>
      <c r="B34" s="7" t="s">
        <v>36</v>
      </c>
      <c r="C34" s="8">
        <v>3.3509903270382315</v>
      </c>
      <c r="D34" s="8" t="str">
        <f>IF(B34=Cover!$C$5,C34," ")</f>
        <v xml:space="preserve"> </v>
      </c>
      <c r="E34" s="8">
        <v>21</v>
      </c>
      <c r="I34" s="188"/>
    </row>
    <row r="35" spans="1:9">
      <c r="C35" s="119"/>
    </row>
    <row r="36" spans="1:9">
      <c r="B36" s="89" t="s">
        <v>100</v>
      </c>
      <c r="C36" s="89"/>
      <c r="D36" s="89">
        <f>SUM(D3:D34)</f>
        <v>16.889505469679712</v>
      </c>
    </row>
    <row r="37" spans="1:9">
      <c r="B37" s="89" t="s">
        <v>68</v>
      </c>
      <c r="C37" s="89"/>
      <c r="D37" s="89">
        <f>MIN(C3:C34)</f>
        <v>3.3509903270382315</v>
      </c>
    </row>
    <row r="38" spans="1:9">
      <c r="B38" s="89" t="s">
        <v>69</v>
      </c>
      <c r="C38" s="89"/>
      <c r="D38" s="89">
        <f>MAX(C3:C34)</f>
        <v>61.985248395683151</v>
      </c>
    </row>
    <row r="39" spans="1:9">
      <c r="B39" s="89" t="s">
        <v>101</v>
      </c>
      <c r="C39" s="89"/>
      <c r="D39" s="89">
        <f>E34</f>
        <v>21</v>
      </c>
    </row>
    <row r="41" spans="1:9">
      <c r="A41" t="s">
        <v>352</v>
      </c>
    </row>
  </sheetData>
  <sheetProtection selectLockedCells="1" selectUnlockedCells="1"/>
  <autoFilter ref="A2:E2">
    <sortState ref="A3:E34">
      <sortCondition descending="1" ref="C2"/>
    </sortState>
  </autoFilter>
  <sortState ref="H3:I34">
    <sortCondition descending="1" ref="I3:I34"/>
  </sortState>
  <phoneticPr fontId="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7"/>
    <pageSetUpPr fitToPage="1"/>
  </sheetPr>
  <dimension ref="A1:AA77"/>
  <sheetViews>
    <sheetView zoomScale="85" workbookViewId="0">
      <selection activeCell="K39" sqref="K39"/>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row>
    <row r="3" spans="1:27">
      <c r="A3" s="7" t="s">
        <v>31</v>
      </c>
      <c r="B3" s="8">
        <f>B45*$B$39</f>
        <v>143595.38945558295</v>
      </c>
      <c r="C3" s="7">
        <f t="shared" ref="C3:M3" si="0">C45*$B$39</f>
        <v>342.13936764763361</v>
      </c>
      <c r="D3" s="8">
        <f t="shared" si="0"/>
        <v>0</v>
      </c>
      <c r="E3" s="8">
        <f t="shared" si="0"/>
        <v>28100.711298706377</v>
      </c>
      <c r="F3" s="7">
        <f t="shared" si="0"/>
        <v>64461.82416852309</v>
      </c>
      <c r="G3" s="8">
        <f t="shared" si="0"/>
        <v>9957.2618908039258</v>
      </c>
      <c r="H3" s="8">
        <f t="shared" si="0"/>
        <v>23467.99331691875</v>
      </c>
      <c r="I3" s="8">
        <f t="shared" si="0"/>
        <v>9496.8831828663006</v>
      </c>
      <c r="J3" s="8">
        <f t="shared" si="0"/>
        <v>3420.1358111541022</v>
      </c>
      <c r="K3" s="7">
        <f t="shared" si="0"/>
        <v>0</v>
      </c>
      <c r="L3" s="7">
        <f t="shared" si="0"/>
        <v>38.99382498925236</v>
      </c>
      <c r="M3" s="7">
        <f t="shared" si="0"/>
        <v>4309.4465939735028</v>
      </c>
      <c r="O3" s="7" t="s">
        <v>31</v>
      </c>
      <c r="P3" s="8">
        <f>(B3*1000)/SUM('Population Figures'!$B5:$D5)</f>
        <v>692.05932553657021</v>
      </c>
      <c r="Q3" s="7">
        <f>(C3*1000)/SUM('Population Figures'!$B5:$D5)</f>
        <v>1.6489438895736352</v>
      </c>
      <c r="R3" s="8">
        <f>(D3*1000)/SUM('Population Figures'!$B5)</f>
        <v>0</v>
      </c>
      <c r="S3" s="8">
        <f>(E3*1000)/SUM('Population Figures'!$B5)</f>
        <v>737.68701070292127</v>
      </c>
      <c r="T3" s="7">
        <f>(F3*1000)/SUM('Population Figures'!$D5)</f>
        <v>1993.0071781017527</v>
      </c>
      <c r="U3" s="8">
        <f>(G3*1000)/SUM('Population Figures'!$C5)</f>
        <v>72.652637233799524</v>
      </c>
      <c r="V3" s="8">
        <f>(H3*1000)/SUM('Population Figures'!$C5)</f>
        <v>171.23297787657876</v>
      </c>
      <c r="W3" s="8">
        <f>(I3*1000)/SUM('Population Figures'!$C5)</f>
        <v>69.293508225768875</v>
      </c>
      <c r="X3" s="8">
        <f>(J3*1000)/SUM('Population Figures'!$C5)</f>
        <v>24.954840909386164</v>
      </c>
      <c r="Y3" s="7">
        <f>(K3*1000)/SUM('Population Figures'!$C5)</f>
        <v>0</v>
      </c>
      <c r="Z3" s="7">
        <f>(L3*1000)/SUM('Population Figures'!$C5)</f>
        <v>0.28451639139057416</v>
      </c>
      <c r="AA3" s="7">
        <f>(M3*1000)/SUM('Population Figures'!$C5)</f>
        <v>31.443650222713128</v>
      </c>
    </row>
    <row r="4" spans="1:27">
      <c r="A4" s="7" t="s">
        <v>32</v>
      </c>
      <c r="B4" s="8">
        <f t="shared" ref="B4:M35" si="1">B46*$B$39</f>
        <v>114197.81900965335</v>
      </c>
      <c r="C4" s="7">
        <f t="shared" si="1"/>
        <v>734.59334818462514</v>
      </c>
      <c r="D4" s="8">
        <f t="shared" si="1"/>
        <v>0</v>
      </c>
      <c r="E4" s="8">
        <f t="shared" si="1"/>
        <v>18070.493219212884</v>
      </c>
      <c r="F4" s="7">
        <f t="shared" si="1"/>
        <v>58102.057099308251</v>
      </c>
      <c r="G4" s="8">
        <f t="shared" si="1"/>
        <v>4027.6847617930985</v>
      </c>
      <c r="H4" s="8">
        <f t="shared" si="1"/>
        <v>26723.348770860204</v>
      </c>
      <c r="I4" s="8">
        <f t="shared" si="1"/>
        <v>3601.2684175557906</v>
      </c>
      <c r="J4" s="8">
        <f t="shared" si="1"/>
        <v>1139.625981943956</v>
      </c>
      <c r="K4" s="7">
        <f t="shared" si="1"/>
        <v>0</v>
      </c>
      <c r="L4" s="7">
        <f t="shared" si="1"/>
        <v>0</v>
      </c>
      <c r="M4" s="7">
        <f t="shared" si="1"/>
        <v>1798.7474107945443</v>
      </c>
      <c r="O4" s="7" t="s">
        <v>32</v>
      </c>
      <c r="P4" s="8">
        <f>(B4*1000)/SUM('Population Figures'!$B6:$D6)</f>
        <v>499.15997469032845</v>
      </c>
      <c r="Q4" s="7">
        <f>(C4*1000)/SUM('Population Figures'!$B6:$D6)</f>
        <v>3.2109159375147529</v>
      </c>
      <c r="R4" s="8">
        <f>(D4*1000)/SUM('Population Figures'!$B6)</f>
        <v>0</v>
      </c>
      <c r="S4" s="8">
        <f>(E4*1000)/SUM('Population Figures'!$B6)</f>
        <v>341.46812583546642</v>
      </c>
      <c r="T4" s="7">
        <f>(F4*1000)/SUM('Population Figures'!$D6)</f>
        <v>1714.1272450822592</v>
      </c>
      <c r="U4" s="8">
        <f>(G4*1000)/SUM('Population Figures'!$C6)</f>
        <v>28.371169886683234</v>
      </c>
      <c r="V4" s="8">
        <f>(H4*1000)/SUM('Population Figures'!$C6)</f>
        <v>188.24031987588546</v>
      </c>
      <c r="W4" s="8">
        <f>(I4*1000)/SUM('Population Figures'!$C6)</f>
        <v>25.367476385251123</v>
      </c>
      <c r="X4" s="8">
        <f>(J4*1000)/SUM('Population Figures'!$C6)</f>
        <v>8.0275702427654618</v>
      </c>
      <c r="Y4" s="7">
        <f>(K4*1000)/SUM('Population Figures'!$C6)</f>
        <v>0</v>
      </c>
      <c r="Z4" s="7">
        <f>(L4*1000)/SUM('Population Figures'!$C6)</f>
        <v>0</v>
      </c>
      <c r="AA4" s="7">
        <f>(M4*1000)/SUM('Population Figures'!$C6)</f>
        <v>12.670447513415684</v>
      </c>
    </row>
    <row r="5" spans="1:27">
      <c r="A5" s="7" t="s">
        <v>33</v>
      </c>
      <c r="B5" s="8">
        <f t="shared" si="1"/>
        <v>54741.040958299141</v>
      </c>
      <c r="C5" s="7">
        <f t="shared" si="1"/>
        <v>113.20787900105523</v>
      </c>
      <c r="D5" s="8">
        <f t="shared" si="1"/>
        <v>124.52866690116076</v>
      </c>
      <c r="E5" s="8">
        <f t="shared" si="1"/>
        <v>10939.654707468639</v>
      </c>
      <c r="F5" s="7">
        <f t="shared" si="1"/>
        <v>35742.24313127761</v>
      </c>
      <c r="G5" s="8">
        <f t="shared" si="1"/>
        <v>3439.0037909876114</v>
      </c>
      <c r="H5" s="8">
        <f t="shared" si="1"/>
        <v>8400.0246218782995</v>
      </c>
      <c r="I5" s="8">
        <f t="shared" si="1"/>
        <v>2133.3395865087741</v>
      </c>
      <c r="J5" s="8">
        <f t="shared" si="1"/>
        <v>313.20846523625283</v>
      </c>
      <c r="K5" s="7">
        <f t="shared" si="1"/>
        <v>5.0314612889357884</v>
      </c>
      <c r="L5" s="7">
        <f t="shared" si="1"/>
        <v>0</v>
      </c>
      <c r="M5" s="7">
        <f t="shared" si="1"/>
        <v>-6469.2013522491898</v>
      </c>
      <c r="O5" s="7" t="s">
        <v>33</v>
      </c>
      <c r="P5" s="8">
        <f>(B5*1000)/SUM('Population Figures'!$B7:$D7)</f>
        <v>509.64566575085325</v>
      </c>
      <c r="Q5" s="7">
        <f>(C5*1000)/SUM('Population Figures'!$B7:$D7)</f>
        <v>1.053978949828277</v>
      </c>
      <c r="R5" s="8">
        <f>(D5*1000)/SUM('Population Figures'!$B7)</f>
        <v>5.4660989773137016</v>
      </c>
      <c r="S5" s="8">
        <f>(E5*1000)/SUM('Population Figures'!$B7)</f>
        <v>480.18851318886129</v>
      </c>
      <c r="T5" s="7">
        <f>(F5*1000)/SUM('Population Figures'!$D7)</f>
        <v>1790.6935436511831</v>
      </c>
      <c r="U5" s="8">
        <f>(G5*1000)/SUM('Population Figures'!$C7)</f>
        <v>53.179374512705067</v>
      </c>
      <c r="V5" s="8">
        <f>(H5*1000)/SUM('Population Figures'!$C7)</f>
        <v>129.89460972781438</v>
      </c>
      <c r="W5" s="8">
        <f>(I5*1000)/SUM('Population Figures'!$C7)</f>
        <v>32.989107232460789</v>
      </c>
      <c r="X5" s="8">
        <f>(J5*1000)/SUM('Population Figures'!$C7)</f>
        <v>4.8433300123129337</v>
      </c>
      <c r="Y5" s="7">
        <f>(K5*1000)/SUM('Population Figures'!$C7)</f>
        <v>7.7804498189766008E-2</v>
      </c>
      <c r="Z5" s="7">
        <f>(L5*1000)/SUM('Population Figures'!$C7)</f>
        <v>0</v>
      </c>
      <c r="AA5" s="7">
        <f>(M5*1000)/SUM('Population Figures'!$C7)</f>
        <v>-100.03713354749165</v>
      </c>
    </row>
    <row r="6" spans="1:27">
      <c r="A6" s="7" t="s">
        <v>34</v>
      </c>
      <c r="B6" s="8">
        <f t="shared" si="1"/>
        <v>64029.118497674608</v>
      </c>
      <c r="C6" s="7">
        <f t="shared" si="1"/>
        <v>627.67479579473957</v>
      </c>
      <c r="D6" s="8">
        <f t="shared" si="1"/>
        <v>132.07585883456446</v>
      </c>
      <c r="E6" s="8">
        <f t="shared" si="1"/>
        <v>8831.472427404542</v>
      </c>
      <c r="F6" s="7">
        <f t="shared" si="1"/>
        <v>31157.324031734868</v>
      </c>
      <c r="G6" s="8">
        <f t="shared" si="1"/>
        <v>899.37370539727215</v>
      </c>
      <c r="H6" s="8">
        <f t="shared" si="1"/>
        <v>17474.265056473992</v>
      </c>
      <c r="I6" s="8">
        <f t="shared" si="1"/>
        <v>3758.5015828350338</v>
      </c>
      <c r="J6" s="8">
        <f t="shared" si="1"/>
        <v>466.66803454879437</v>
      </c>
      <c r="K6" s="7">
        <f t="shared" si="1"/>
        <v>0</v>
      </c>
      <c r="L6" s="7">
        <f t="shared" si="1"/>
        <v>0</v>
      </c>
      <c r="M6" s="7">
        <f t="shared" si="1"/>
        <v>681.7630046507993</v>
      </c>
      <c r="O6" s="7" t="s">
        <v>34</v>
      </c>
      <c r="P6" s="8">
        <f>(B6*1000)/SUM('Population Figures'!$B8:$D8)</f>
        <v>701.30469329325967</v>
      </c>
      <c r="Q6" s="7">
        <f>(C6*1000)/SUM('Population Figures'!$B8:$D8)</f>
        <v>6.8748608520782</v>
      </c>
      <c r="R6" s="8">
        <f>(D6*1000)/SUM('Population Figures'!$B8)</f>
        <v>7.0238172109425898</v>
      </c>
      <c r="S6" s="8">
        <f>(E6*1000)/SUM('Population Figures'!$B8)</f>
        <v>469.65924417169441</v>
      </c>
      <c r="T6" s="7">
        <f>(F6*1000)/SUM('Population Figures'!$D8)</f>
        <v>1791.6805078628447</v>
      </c>
      <c r="U6" s="8">
        <f>(G6*1000)/SUM('Population Figures'!$C8)</f>
        <v>16.320794566785324</v>
      </c>
      <c r="V6" s="8">
        <f>(H6*1000)/SUM('Population Figures'!$C8)</f>
        <v>317.10276660389053</v>
      </c>
      <c r="W6" s="8">
        <f>(I6*1000)/SUM('Population Figures'!$C8)</f>
        <v>68.204942888887487</v>
      </c>
      <c r="X6" s="8">
        <f>(J6*1000)/SUM('Population Figures'!$C8)</f>
        <v>8.4685521458424553</v>
      </c>
      <c r="Y6" s="7">
        <f>(K6*1000)/SUM('Population Figures'!$C8)</f>
        <v>0</v>
      </c>
      <c r="Z6" s="7">
        <f>(L6*1000)/SUM('Population Figures'!$C8)</f>
        <v>0</v>
      </c>
      <c r="AA6" s="7">
        <f>(M6*1000)/SUM('Population Figures'!$C8)</f>
        <v>12.371847070206499</v>
      </c>
    </row>
    <row r="7" spans="1:27">
      <c r="A7" s="7" t="s">
        <v>35</v>
      </c>
      <c r="B7" s="8">
        <f t="shared" si="1"/>
        <v>27340.960644077073</v>
      </c>
      <c r="C7" s="7">
        <f t="shared" si="1"/>
        <v>632.70625708367538</v>
      </c>
      <c r="D7" s="8">
        <f t="shared" si="1"/>
        <v>13.836518544573417</v>
      </c>
      <c r="E7" s="8">
        <f t="shared" si="1"/>
        <v>5418.8838081838439</v>
      </c>
      <c r="F7" s="7">
        <f t="shared" si="1"/>
        <v>12813.874037597219</v>
      </c>
      <c r="G7" s="8">
        <f t="shared" si="1"/>
        <v>3358.5004103646388</v>
      </c>
      <c r="H7" s="8">
        <f t="shared" si="1"/>
        <v>2888.0587798491424</v>
      </c>
      <c r="I7" s="8">
        <f t="shared" si="1"/>
        <v>1079.2484464767267</v>
      </c>
      <c r="J7" s="8">
        <f t="shared" si="1"/>
        <v>90.566303200844189</v>
      </c>
      <c r="K7" s="7">
        <f t="shared" si="1"/>
        <v>0</v>
      </c>
      <c r="L7" s="7">
        <f t="shared" si="1"/>
        <v>0</v>
      </c>
      <c r="M7" s="7">
        <f t="shared" si="1"/>
        <v>1045.28608277641</v>
      </c>
      <c r="O7" s="7" t="s">
        <v>35</v>
      </c>
      <c r="P7" s="8">
        <f>(B7*1000)/SUM('Population Figures'!$B9:$D9)</f>
        <v>573.42618800497223</v>
      </c>
      <c r="Q7" s="7">
        <f>(C7*1000)/SUM('Population Figures'!$B9:$D9)</f>
        <v>13.269845995882452</v>
      </c>
      <c r="R7" s="8">
        <f>(D7*1000)/SUM('Population Figures'!$B9)</f>
        <v>1.2729087897491644</v>
      </c>
      <c r="S7" s="8">
        <f>(E7*1000)/SUM('Population Figures'!$B9)</f>
        <v>498.51736965812734</v>
      </c>
      <c r="T7" s="7">
        <f>(F7*1000)/SUM('Population Figures'!$D9)</f>
        <v>1781.68437675156</v>
      </c>
      <c r="U7" s="8">
        <f>(G7*1000)/SUM('Population Figures'!$C9)</f>
        <v>113.3938959539685</v>
      </c>
      <c r="V7" s="8">
        <f>(H7*1000)/SUM('Population Figures'!$C9)</f>
        <v>97.510256595622337</v>
      </c>
      <c r="W7" s="8">
        <f>(I7*1000)/SUM('Population Figures'!$C9)</f>
        <v>36.438937351499995</v>
      </c>
      <c r="X7" s="8">
        <f>(J7*1000)/SUM('Population Figures'!$C9)</f>
        <v>3.0578129246013974</v>
      </c>
      <c r="Y7" s="7">
        <f>(K7*1000)/SUM('Population Figures'!$C9)</f>
        <v>0</v>
      </c>
      <c r="Z7" s="7">
        <f>(L7*1000)/SUM('Population Figures'!$C9)</f>
        <v>0</v>
      </c>
      <c r="AA7" s="7">
        <f>(M7*1000)/SUM('Population Figures'!$C9)</f>
        <v>35.292257504774462</v>
      </c>
    </row>
    <row r="8" spans="1:27">
      <c r="A8" s="7" t="s">
        <v>36</v>
      </c>
      <c r="B8" s="8">
        <f t="shared" si="1"/>
        <v>83416.596709266436</v>
      </c>
      <c r="C8" s="7">
        <f t="shared" si="1"/>
        <v>749.68773205143248</v>
      </c>
      <c r="D8" s="8">
        <f t="shared" si="1"/>
        <v>149.6859733458397</v>
      </c>
      <c r="E8" s="8">
        <f t="shared" si="1"/>
        <v>16499.419431742685</v>
      </c>
      <c r="F8" s="7">
        <f t="shared" si="1"/>
        <v>44657.99253527182</v>
      </c>
      <c r="G8" s="8">
        <f t="shared" si="1"/>
        <v>5994.9861257669918</v>
      </c>
      <c r="H8" s="8">
        <f t="shared" si="1"/>
        <v>9911.9787392035032</v>
      </c>
      <c r="I8" s="8">
        <f t="shared" si="1"/>
        <v>3005.0402548168995</v>
      </c>
      <c r="J8" s="8">
        <f t="shared" si="1"/>
        <v>510.69332082698253</v>
      </c>
      <c r="K8" s="7">
        <f t="shared" si="1"/>
        <v>1.2578653222339471</v>
      </c>
      <c r="L8" s="7">
        <f t="shared" si="1"/>
        <v>2.5157306444678942</v>
      </c>
      <c r="M8" s="7">
        <f t="shared" si="1"/>
        <v>1933.3390002735766</v>
      </c>
      <c r="O8" s="7" t="s">
        <v>36</v>
      </c>
      <c r="P8" s="8">
        <f>(B8*1000)/SUM('Population Figures'!$B10:$D10)</f>
        <v>566.65034107238932</v>
      </c>
      <c r="Q8" s="7">
        <f>(C8*1000)/SUM('Population Figures'!$B10:$D10)</f>
        <v>5.0926413426494976</v>
      </c>
      <c r="R8" s="8">
        <f>(D8*1000)/SUM('Population Figures'!$B10)</f>
        <v>4.9193497221585289</v>
      </c>
      <c r="S8" s="8">
        <f>(E8*1000)/SUM('Population Figures'!$B10)</f>
        <v>542.24462441641526</v>
      </c>
      <c r="T8" s="7">
        <f>(F8*1000)/SUM('Population Figures'!$D10)</f>
        <v>1520.2720863071258</v>
      </c>
      <c r="U8" s="8">
        <f>(G8*1000)/SUM('Population Figures'!$C10)</f>
        <v>68.587025361435494</v>
      </c>
      <c r="V8" s="8">
        <f>(H8*1000)/SUM('Population Figures'!$C10)</f>
        <v>113.40028532272591</v>
      </c>
      <c r="W8" s="8">
        <f>(I8*1000)/SUM('Population Figures'!$C10)</f>
        <v>34.379858075633528</v>
      </c>
      <c r="X8" s="8">
        <f>(J8*1000)/SUM('Population Figures'!$C10)</f>
        <v>5.8427050559678575</v>
      </c>
      <c r="Y8" s="7">
        <f>(K8*1000)/SUM('Population Figures'!$C10)</f>
        <v>1.4390899152630192E-2</v>
      </c>
      <c r="Z8" s="7">
        <f>(L8*1000)/SUM('Population Figures'!$C10)</f>
        <v>2.8781798305260384E-2</v>
      </c>
      <c r="AA8" s="7">
        <f>(M8*1000)/SUM('Population Figures'!$C10)</f>
        <v>22.118811997592605</v>
      </c>
    </row>
    <row r="9" spans="1:27">
      <c r="A9" s="7" t="s">
        <v>37</v>
      </c>
      <c r="B9" s="8">
        <f t="shared" si="1"/>
        <v>93917.256419275422</v>
      </c>
      <c r="C9" s="7">
        <f t="shared" si="1"/>
        <v>796.22874897408849</v>
      </c>
      <c r="D9" s="8">
        <f t="shared" si="1"/>
        <v>188.67979833509207</v>
      </c>
      <c r="E9" s="8">
        <f t="shared" si="1"/>
        <v>25704.477859850707</v>
      </c>
      <c r="F9" s="7">
        <f t="shared" si="1"/>
        <v>42276.85348028296</v>
      </c>
      <c r="G9" s="8">
        <f t="shared" si="1"/>
        <v>6861.6553327861811</v>
      </c>
      <c r="H9" s="8">
        <f t="shared" si="1"/>
        <v>10704.433892210889</v>
      </c>
      <c r="I9" s="8">
        <f t="shared" si="1"/>
        <v>1963.5277680071913</v>
      </c>
      <c r="J9" s="8">
        <f t="shared" si="1"/>
        <v>464.15230390432646</v>
      </c>
      <c r="K9" s="7">
        <f t="shared" si="1"/>
        <v>288.05115879157387</v>
      </c>
      <c r="L9" s="7">
        <f t="shared" si="1"/>
        <v>0</v>
      </c>
      <c r="M9" s="7">
        <f t="shared" si="1"/>
        <v>4669.1960761324117</v>
      </c>
      <c r="O9" s="7" t="s">
        <v>37</v>
      </c>
      <c r="P9" s="8">
        <f>(B9*1000)/SUM('Population Figures'!$B11:$D11)</f>
        <v>655.61784585881617</v>
      </c>
      <c r="Q9" s="7">
        <f>(C9*1000)/SUM('Population Figures'!$B11:$D11)</f>
        <v>5.5583158741646663</v>
      </c>
      <c r="R9" s="8">
        <f>(D9*1000)/SUM('Population Figures'!$B11)</f>
        <v>6.614541571782369</v>
      </c>
      <c r="S9" s="8">
        <f>(E9*1000)/SUM('Population Figures'!$B11)</f>
        <v>901.12104679581796</v>
      </c>
      <c r="T9" s="7">
        <f>(F9*1000)/SUM('Population Figures'!$D11)</f>
        <v>1638.8918235495023</v>
      </c>
      <c r="U9" s="8">
        <f>(G9*1000)/SUM('Population Figures'!$C11)</f>
        <v>77.158804583276336</v>
      </c>
      <c r="V9" s="8">
        <f>(H9*1000)/SUM('Population Figures'!$C11)</f>
        <v>120.37056407033577</v>
      </c>
      <c r="W9" s="8">
        <f>(I9*1000)/SUM('Population Figures'!$C11)</f>
        <v>22.07972391466441</v>
      </c>
      <c r="X9" s="8">
        <f>(J9*1000)/SUM('Population Figures'!$C11)</f>
        <v>5.2193581835433491</v>
      </c>
      <c r="Y9" s="7">
        <f>(K9*1000)/SUM('Population Figures'!$C11)</f>
        <v>3.2391138862640299</v>
      </c>
      <c r="Z9" s="7">
        <f>(L9*1000)/SUM('Population Figures'!$C11)</f>
        <v>0</v>
      </c>
      <c r="AA9" s="7">
        <f>(M9*1000)/SUM('Population Figures'!$C11)</f>
        <v>52.504763082148813</v>
      </c>
    </row>
    <row r="10" spans="1:27">
      <c r="A10" s="7" t="s">
        <v>38</v>
      </c>
      <c r="B10" s="8">
        <f t="shared" si="1"/>
        <v>66973.781217024283</v>
      </c>
      <c r="C10" s="7">
        <f t="shared" si="1"/>
        <v>569.81299097197802</v>
      </c>
      <c r="D10" s="8">
        <f t="shared" si="1"/>
        <v>83.019111267440508</v>
      </c>
      <c r="E10" s="8">
        <f t="shared" si="1"/>
        <v>11550.977254074336</v>
      </c>
      <c r="F10" s="7">
        <f t="shared" si="1"/>
        <v>33662.99175362489</v>
      </c>
      <c r="G10" s="8">
        <f t="shared" si="1"/>
        <v>3301.8964708641111</v>
      </c>
      <c r="H10" s="8">
        <f t="shared" si="1"/>
        <v>10678.018720443977</v>
      </c>
      <c r="I10" s="8">
        <f t="shared" si="1"/>
        <v>2905.6688943604177</v>
      </c>
      <c r="J10" s="8">
        <f t="shared" si="1"/>
        <v>1496.8597334583969</v>
      </c>
      <c r="K10" s="7">
        <f t="shared" si="1"/>
        <v>0</v>
      </c>
      <c r="L10" s="7">
        <f t="shared" si="1"/>
        <v>0</v>
      </c>
      <c r="M10" s="7">
        <f t="shared" si="1"/>
        <v>2724.5362879587292</v>
      </c>
      <c r="O10" s="7" t="s">
        <v>38</v>
      </c>
      <c r="P10" s="8">
        <f>(B10*1000)/SUM('Population Figures'!$B12:$D12)</f>
        <v>560.30938858047591</v>
      </c>
      <c r="Q10" s="7">
        <f>(C10*1000)/SUM('Population Figures'!$B12:$D12)</f>
        <v>4.7671127831672218</v>
      </c>
      <c r="R10" s="8">
        <f>(D10*1000)/SUM('Population Figures'!$B12)</f>
        <v>3.1525446672529998</v>
      </c>
      <c r="S10" s="8">
        <f>(E10*1000)/SUM('Population Figures'!$B12)</f>
        <v>438.63360120279248</v>
      </c>
      <c r="T10" s="7">
        <f>(F10*1000)/SUM('Population Figures'!$D12)</f>
        <v>1719.6930653192794</v>
      </c>
      <c r="U10" s="8">
        <f>(G10*1000)/SUM('Population Figures'!$C12)</f>
        <v>44.849926934761974</v>
      </c>
      <c r="V10" s="8">
        <f>(H10*1000)/SUM('Population Figures'!$C12)</f>
        <v>145.04039228540739</v>
      </c>
      <c r="W10" s="8">
        <f>(I10*1000)/SUM('Population Figures'!$C12)</f>
        <v>39.46793570259053</v>
      </c>
      <c r="X10" s="8">
        <f>(J10*1000)/SUM('Population Figures'!$C12)</f>
        <v>20.331966877092093</v>
      </c>
      <c r="Y10" s="7">
        <f>(K10*1000)/SUM('Population Figures'!$C12)</f>
        <v>0</v>
      </c>
      <c r="Z10" s="7">
        <f>(L10*1000)/SUM('Population Figures'!$C12)</f>
        <v>0</v>
      </c>
      <c r="AA10" s="7">
        <f>(M10*1000)/SUM('Population Figures'!$C12)</f>
        <v>37.007596853597875</v>
      </c>
    </row>
    <row r="11" spans="1:27">
      <c r="A11" s="7" t="s">
        <v>39</v>
      </c>
      <c r="B11" s="8">
        <f t="shared" si="1"/>
        <v>44037.864931410484</v>
      </c>
      <c r="C11" s="7">
        <f t="shared" si="1"/>
        <v>1388.6833157462777</v>
      </c>
      <c r="D11" s="8">
        <f t="shared" si="1"/>
        <v>11.320787900105524</v>
      </c>
      <c r="E11" s="8">
        <f t="shared" si="1"/>
        <v>6839.0137569859708</v>
      </c>
      <c r="F11" s="7">
        <f t="shared" si="1"/>
        <v>19888.108609840936</v>
      </c>
      <c r="G11" s="8">
        <f t="shared" si="1"/>
        <v>3089.3172314065741</v>
      </c>
      <c r="H11" s="8">
        <f t="shared" si="1"/>
        <v>9081.7876265290979</v>
      </c>
      <c r="I11" s="8">
        <f t="shared" si="1"/>
        <v>2540.8879509125732</v>
      </c>
      <c r="J11" s="8">
        <f t="shared" si="1"/>
        <v>442.76859342634936</v>
      </c>
      <c r="K11" s="7">
        <f t="shared" si="1"/>
        <v>0</v>
      </c>
      <c r="L11" s="7">
        <f t="shared" si="1"/>
        <v>0</v>
      </c>
      <c r="M11" s="7">
        <f t="shared" si="1"/>
        <v>755.97705866260219</v>
      </c>
      <c r="O11" s="7" t="s">
        <v>39</v>
      </c>
      <c r="P11" s="8">
        <f>(B11*1000)/SUM('Population Figures'!$B13:$D13)</f>
        <v>411.68425662718971</v>
      </c>
      <c r="Q11" s="7">
        <f>(C11*1000)/SUM('Population Figures'!$B13:$D13)</f>
        <v>12.981988555167595</v>
      </c>
      <c r="R11" s="8">
        <f>(D11*1000)/SUM('Population Figures'!$B13)</f>
        <v>0.47116943022872287</v>
      </c>
      <c r="S11" s="8">
        <f>(E11*1000)/SUM('Population Figures'!$B13)</f>
        <v>284.63868801706292</v>
      </c>
      <c r="T11" s="7">
        <f>(F11*1000)/SUM('Population Figures'!$D13)</f>
        <v>1120.3937023176686</v>
      </c>
      <c r="U11" s="8">
        <f>(G11*1000)/SUM('Population Figures'!$C13)</f>
        <v>47.38798060201519</v>
      </c>
      <c r="V11" s="8">
        <f>(H11*1000)/SUM('Population Figures'!$C13)</f>
        <v>139.30831431048438</v>
      </c>
      <c r="W11" s="8">
        <f>(I11*1000)/SUM('Population Figures'!$C13)</f>
        <v>38.975456358334974</v>
      </c>
      <c r="X11" s="8">
        <f>(J11*1000)/SUM('Population Figures'!$C13)</f>
        <v>6.7917626921454985</v>
      </c>
      <c r="Y11" s="7">
        <f>(K11*1000)/SUM('Population Figures'!$C13)</f>
        <v>0</v>
      </c>
      <c r="Z11" s="7">
        <f>(L11*1000)/SUM('Population Figures'!$C13)</f>
        <v>0</v>
      </c>
      <c r="AA11" s="7">
        <f>(M11*1000)/SUM('Population Figures'!$C13)</f>
        <v>11.596163005623424</v>
      </c>
    </row>
    <row r="12" spans="1:27">
      <c r="A12" s="7" t="s">
        <v>40</v>
      </c>
      <c r="B12" s="8">
        <f t="shared" si="1"/>
        <v>45759.882557548764</v>
      </c>
      <c r="C12" s="7">
        <f t="shared" si="1"/>
        <v>403.77476843709701</v>
      </c>
      <c r="D12" s="8">
        <f t="shared" si="1"/>
        <v>62.893266111697358</v>
      </c>
      <c r="E12" s="8">
        <f t="shared" si="1"/>
        <v>9335.8764216203544</v>
      </c>
      <c r="F12" s="7">
        <f t="shared" si="1"/>
        <v>24344.725446515811</v>
      </c>
      <c r="G12" s="8">
        <f t="shared" si="1"/>
        <v>2286.7991558213157</v>
      </c>
      <c r="H12" s="8">
        <f t="shared" si="1"/>
        <v>6600.0193457615205</v>
      </c>
      <c r="I12" s="8">
        <f t="shared" si="1"/>
        <v>1359.7524133348968</v>
      </c>
      <c r="J12" s="8">
        <f t="shared" si="1"/>
        <v>366.03880877007862</v>
      </c>
      <c r="K12" s="7">
        <f t="shared" si="1"/>
        <v>0</v>
      </c>
      <c r="L12" s="7">
        <f t="shared" si="1"/>
        <v>0</v>
      </c>
      <c r="M12" s="7">
        <f t="shared" si="1"/>
        <v>1000.0029311759879</v>
      </c>
      <c r="O12" s="7" t="s">
        <v>40</v>
      </c>
      <c r="P12" s="8">
        <f>(B12*1000)/SUM('Population Figures'!$B14:$D14)</f>
        <v>502.35901369578175</v>
      </c>
      <c r="Q12" s="7">
        <f>(C12*1000)/SUM('Population Figures'!$B14:$D14)</f>
        <v>4.4327013770677022</v>
      </c>
      <c r="R12" s="8">
        <f>(D12*1000)/SUM('Population Figures'!$B14)</f>
        <v>3.0222617064727229</v>
      </c>
      <c r="S12" s="8">
        <f>(E12*1000)/SUM('Population Figures'!$B14)</f>
        <v>448.62452770881089</v>
      </c>
      <c r="T12" s="7">
        <f>(F12*1000)/SUM('Population Figures'!$D14)</f>
        <v>1523.7357104910691</v>
      </c>
      <c r="U12" s="8">
        <f>(G12*1000)/SUM('Population Figures'!$C14)</f>
        <v>42.111838311351406</v>
      </c>
      <c r="V12" s="8">
        <f>(H12*1000)/SUM('Population Figures'!$C14)</f>
        <v>121.54060265107859</v>
      </c>
      <c r="W12" s="8">
        <f>(I12*1000)/SUM('Population Figures'!$C14)</f>
        <v>25.040097477761758</v>
      </c>
      <c r="X12" s="8">
        <f>(J12*1000)/SUM('Population Figures'!$C14)</f>
        <v>6.7406737891107058</v>
      </c>
      <c r="Y12" s="7">
        <f>(K12*1000)/SUM('Population Figures'!$C14)</f>
        <v>0</v>
      </c>
      <c r="Z12" s="7">
        <f>(L12*1000)/SUM('Population Figures'!$C14)</f>
        <v>0</v>
      </c>
      <c r="AA12" s="7">
        <f>(M12*1000)/SUM('Population Figures'!$C14)</f>
        <v>18.415242825920998</v>
      </c>
    </row>
    <row r="13" spans="1:27">
      <c r="A13" s="7" t="s">
        <v>41</v>
      </c>
      <c r="B13" s="8">
        <f t="shared" si="1"/>
        <v>38400.11255715794</v>
      </c>
      <c r="C13" s="7">
        <f t="shared" si="1"/>
        <v>1076.7327158322587</v>
      </c>
      <c r="D13" s="8">
        <f t="shared" si="1"/>
        <v>0</v>
      </c>
      <c r="E13" s="8">
        <f t="shared" si="1"/>
        <v>4461.6482979638104</v>
      </c>
      <c r="F13" s="7">
        <f t="shared" si="1"/>
        <v>18963.577597998985</v>
      </c>
      <c r="G13" s="8">
        <f t="shared" si="1"/>
        <v>6106.9361394458128</v>
      </c>
      <c r="H13" s="8">
        <f t="shared" si="1"/>
        <v>4764.793840622192</v>
      </c>
      <c r="I13" s="8">
        <f t="shared" si="1"/>
        <v>837.7383046078088</v>
      </c>
      <c r="J13" s="8">
        <f t="shared" si="1"/>
        <v>1236.4816117559699</v>
      </c>
      <c r="K13" s="7">
        <f t="shared" si="1"/>
        <v>0</v>
      </c>
      <c r="L13" s="7">
        <f t="shared" si="1"/>
        <v>0</v>
      </c>
      <c r="M13" s="7">
        <f t="shared" si="1"/>
        <v>952.20404893109799</v>
      </c>
      <c r="O13" s="7" t="s">
        <v>41</v>
      </c>
      <c r="P13" s="8">
        <f>(B13*1000)/SUM('Population Figures'!$B15:$D15)</f>
        <v>428.19037195760416</v>
      </c>
      <c r="Q13" s="7">
        <f>(C13*1000)/SUM('Population Figures'!$B15:$D15)</f>
        <v>12.006386215792357</v>
      </c>
      <c r="R13" s="8">
        <f>(D13*1000)/SUM('Population Figures'!$B15)</f>
        <v>0</v>
      </c>
      <c r="S13" s="8">
        <f>(E13*1000)/SUM('Population Figures'!$B15)</f>
        <v>209.28037421848165</v>
      </c>
      <c r="T13" s="7">
        <f>(F13*1000)/SUM('Population Figures'!$D15)</f>
        <v>1292.9418148223212</v>
      </c>
      <c r="U13" s="8">
        <f>(G13*1000)/SUM('Population Figures'!$C15)</f>
        <v>113.73591349956816</v>
      </c>
      <c r="V13" s="8">
        <f>(H13*1000)/SUM('Population Figures'!$C15)</f>
        <v>88.73978173766514</v>
      </c>
      <c r="W13" s="8">
        <f>(I13*1000)/SUM('Population Figures'!$C15)</f>
        <v>15.602084117551474</v>
      </c>
      <c r="X13" s="8">
        <f>(J13*1000)/SUM('Population Figures'!$C15)</f>
        <v>23.028301332662309</v>
      </c>
      <c r="Y13" s="7">
        <f>(K13*1000)/SUM('Population Figures'!$C15)</f>
        <v>0</v>
      </c>
      <c r="Z13" s="7">
        <f>(L13*1000)/SUM('Population Figures'!$C15)</f>
        <v>0</v>
      </c>
      <c r="AA13" s="7">
        <f>(M13*1000)/SUM('Population Figures'!$C15)</f>
        <v>17.733900415895594</v>
      </c>
    </row>
    <row r="14" spans="1:27">
      <c r="A14" s="7" t="s">
        <v>140</v>
      </c>
      <c r="B14" s="8">
        <f t="shared" si="1"/>
        <v>282427.04922460625</v>
      </c>
      <c r="C14" s="7">
        <f t="shared" si="1"/>
        <v>1582.3945753703053</v>
      </c>
      <c r="D14" s="8">
        <f t="shared" si="1"/>
        <v>169.81181850158285</v>
      </c>
      <c r="E14" s="8">
        <f t="shared" si="1"/>
        <v>66331.012037362729</v>
      </c>
      <c r="F14" s="7">
        <f t="shared" si="1"/>
        <v>118690.91394067301</v>
      </c>
      <c r="G14" s="8">
        <f t="shared" si="1"/>
        <v>24457.933325516868</v>
      </c>
      <c r="H14" s="8">
        <f t="shared" si="1"/>
        <v>39772.443623715175</v>
      </c>
      <c r="I14" s="8">
        <f t="shared" si="1"/>
        <v>11860.412123343887</v>
      </c>
      <c r="J14" s="8">
        <f t="shared" si="1"/>
        <v>4066.678586782351</v>
      </c>
      <c r="K14" s="7">
        <f t="shared" si="1"/>
        <v>2038.9996873412283</v>
      </c>
      <c r="L14" s="7">
        <f t="shared" si="1"/>
        <v>1695.4087431117366</v>
      </c>
      <c r="M14" s="7">
        <f t="shared" si="1"/>
        <v>11761.040762887405</v>
      </c>
      <c r="O14" s="7" t="s">
        <v>140</v>
      </c>
      <c r="P14" s="8">
        <f>(B14*1000)/SUM('Population Figures'!$B16:$D16)</f>
        <v>629.89729291568631</v>
      </c>
      <c r="Q14" s="7">
        <f>(C14*1000)/SUM('Population Figures'!$B16:$D16)</f>
        <v>3.529215994313414</v>
      </c>
      <c r="R14" s="8">
        <f>(D14*1000)/SUM('Population Figures'!$B16)</f>
        <v>2.1020736850770936</v>
      </c>
      <c r="S14" s="8">
        <f>(E14*1000)/SUM('Population Figures'!$B16)</f>
        <v>821.10112322348425</v>
      </c>
      <c r="T14" s="7">
        <f>(F14*1000)/SUM('Population Figures'!$D16)</f>
        <v>1720.0584595193468</v>
      </c>
      <c r="U14" s="8">
        <f>(G14*1000)/SUM('Population Figures'!$C16)</f>
        <v>81.913348467651772</v>
      </c>
      <c r="V14" s="8">
        <f>(H14*1000)/SUM('Population Figures'!$C16)</f>
        <v>133.20397887259213</v>
      </c>
      <c r="W14" s="8">
        <f>(I14*1000)/SUM('Population Figures'!$C16)</f>
        <v>39.722328877879477</v>
      </c>
      <c r="X14" s="8">
        <f>(J14*1000)/SUM('Population Figures'!$C16)</f>
        <v>13.619926743258494</v>
      </c>
      <c r="Y14" s="7">
        <f>(K14*1000)/SUM('Population Figures'!$C16)</f>
        <v>6.8289208941608477</v>
      </c>
      <c r="Z14" s="7">
        <f>(L14*1000)/SUM('Population Figures'!$C16)</f>
        <v>5.6781824253615802</v>
      </c>
      <c r="AA14" s="7">
        <f>(M14*1000)/SUM('Population Figures'!$C16)</f>
        <v>39.38951903788027</v>
      </c>
    </row>
    <row r="15" spans="1:27">
      <c r="A15" s="7" t="s">
        <v>42</v>
      </c>
      <c r="B15" s="8">
        <f t="shared" si="1"/>
        <v>20996.287958729044</v>
      </c>
      <c r="C15" s="7">
        <f t="shared" si="1"/>
        <v>328.30284910306017</v>
      </c>
      <c r="D15" s="8">
        <f t="shared" si="1"/>
        <v>56.603939500527616</v>
      </c>
      <c r="E15" s="8">
        <f t="shared" si="1"/>
        <v>2049.0626099190999</v>
      </c>
      <c r="F15" s="7">
        <f t="shared" si="1"/>
        <v>14171.110720287648</v>
      </c>
      <c r="G15" s="8">
        <f t="shared" si="1"/>
        <v>635.22198772814329</v>
      </c>
      <c r="H15" s="8">
        <f t="shared" si="1"/>
        <v>2423.9064759448161</v>
      </c>
      <c r="I15" s="8">
        <f t="shared" si="1"/>
        <v>915.72595458631349</v>
      </c>
      <c r="J15" s="8">
        <f t="shared" si="1"/>
        <v>135.84945480126629</v>
      </c>
      <c r="K15" s="7">
        <f t="shared" si="1"/>
        <v>0</v>
      </c>
      <c r="L15" s="7">
        <f t="shared" si="1"/>
        <v>0</v>
      </c>
      <c r="M15" s="7">
        <f t="shared" si="1"/>
        <v>280.5039668581702</v>
      </c>
      <c r="O15" s="7" t="s">
        <v>42</v>
      </c>
      <c r="P15" s="8">
        <f>(B15*1000)/SUM('Population Figures'!$B17:$D17)</f>
        <v>804.45547734594038</v>
      </c>
      <c r="Q15" s="7">
        <f>(C15*1000)/SUM('Population Figures'!$B17:$D17)</f>
        <v>12.578653222339469</v>
      </c>
      <c r="R15" s="8">
        <f>(D15*1000)/SUM('Population Figures'!$B17)</f>
        <v>10.259912905660252</v>
      </c>
      <c r="S15" s="8">
        <f>(E15*1000)/SUM('Population Figures'!$B17)</f>
        <v>371.40884718490116</v>
      </c>
      <c r="T15" s="7">
        <f>(F15*1000)/SUM('Population Figures'!$D17)</f>
        <v>2692.0803040060123</v>
      </c>
      <c r="U15" s="8">
        <f>(G15*1000)/SUM('Population Figures'!$C17)</f>
        <v>41.466282898893098</v>
      </c>
      <c r="V15" s="8">
        <f>(H15*1000)/SUM('Population Figures'!$C17)</f>
        <v>158.22876662607325</v>
      </c>
      <c r="W15" s="8">
        <f>(I15*1000)/SUM('Population Figures'!$C17)</f>
        <v>59.777136535434003</v>
      </c>
      <c r="X15" s="8">
        <f>(J15*1000)/SUM('Population Figures'!$C17)</f>
        <v>8.868036738773176</v>
      </c>
      <c r="Y15" s="7">
        <f>(K15*1000)/SUM('Population Figures'!$C17)</f>
        <v>0</v>
      </c>
      <c r="Z15" s="7">
        <f>(L15*1000)/SUM('Population Figures'!$C17)</f>
        <v>0</v>
      </c>
      <c r="AA15" s="7">
        <f>(M15*1000)/SUM('Population Figures'!$C17)</f>
        <v>18.310853636540912</v>
      </c>
    </row>
    <row r="16" spans="1:27">
      <c r="A16" s="7" t="s">
        <v>43</v>
      </c>
      <c r="B16" s="8">
        <f t="shared" si="1"/>
        <v>81250.552624379576</v>
      </c>
      <c r="C16" s="7">
        <f t="shared" si="1"/>
        <v>240.2522765466839</v>
      </c>
      <c r="D16" s="8">
        <f t="shared" si="1"/>
        <v>66.666862078399191</v>
      </c>
      <c r="E16" s="8">
        <f t="shared" si="1"/>
        <v>18890.621409309417</v>
      </c>
      <c r="F16" s="7">
        <f t="shared" si="1"/>
        <v>40747.289248446483</v>
      </c>
      <c r="G16" s="8">
        <f t="shared" si="1"/>
        <v>3602.5262828780246</v>
      </c>
      <c r="H16" s="8">
        <f t="shared" si="1"/>
        <v>11949.720561222497</v>
      </c>
      <c r="I16" s="8">
        <f t="shared" si="1"/>
        <v>3376.1105248759141</v>
      </c>
      <c r="J16" s="8">
        <f t="shared" si="1"/>
        <v>352.20229022550518</v>
      </c>
      <c r="K16" s="7">
        <f t="shared" si="1"/>
        <v>1.2578653222339471</v>
      </c>
      <c r="L16" s="7">
        <f t="shared" si="1"/>
        <v>0</v>
      </c>
      <c r="M16" s="7">
        <f t="shared" si="1"/>
        <v>2023.9053034744209</v>
      </c>
      <c r="O16" s="7" t="s">
        <v>43</v>
      </c>
      <c r="P16" s="8">
        <f>(B16*1000)/SUM('Population Figures'!$B18:$D18)</f>
        <v>556.81573892803988</v>
      </c>
      <c r="Q16" s="7">
        <f>(C16*1000)/SUM('Population Figures'!$B18:$D18)</f>
        <v>1.6464657109833052</v>
      </c>
      <c r="R16" s="8">
        <f>(D16*1000)/SUM('Population Figures'!$B18)</f>
        <v>2.1101782698192384</v>
      </c>
      <c r="S16" s="8">
        <f>(E16*1000)/SUM('Population Figures'!$B18)</f>
        <v>597.9369293612325</v>
      </c>
      <c r="T16" s="7">
        <f>(F16*1000)/SUM('Population Figures'!$D18)</f>
        <v>1786.3783098836686</v>
      </c>
      <c r="U16" s="8">
        <f>(G16*1000)/SUM('Population Figures'!$C18)</f>
        <v>39.364558310237712</v>
      </c>
      <c r="V16" s="8">
        <f>(H16*1000)/SUM('Population Figures'!$C18)</f>
        <v>130.57377931119353</v>
      </c>
      <c r="W16" s="8">
        <f>(I16*1000)/SUM('Population Figures'!$C18)</f>
        <v>36.890528807499308</v>
      </c>
      <c r="X16" s="8">
        <f>(J16*1000)/SUM('Population Figures'!$C18)</f>
        <v>3.8484903375930721</v>
      </c>
      <c r="Y16" s="7">
        <f>(K16*1000)/SUM('Population Figures'!$C18)</f>
        <v>1.3744608348546686E-2</v>
      </c>
      <c r="Z16" s="7">
        <f>(L16*1000)/SUM('Population Figures'!$C18)</f>
        <v>0</v>
      </c>
      <c r="AA16" s="7">
        <f>(M16*1000)/SUM('Population Figures'!$C18)</f>
        <v>22.115074832811619</v>
      </c>
    </row>
    <row r="17" spans="1:27">
      <c r="A17" s="7" t="s">
        <v>44</v>
      </c>
      <c r="B17" s="8">
        <f t="shared" si="1"/>
        <v>189936.40579200379</v>
      </c>
      <c r="C17" s="7">
        <f t="shared" si="1"/>
        <v>920.75741587524931</v>
      </c>
      <c r="D17" s="8">
        <f t="shared" si="1"/>
        <v>118.23934028999102</v>
      </c>
      <c r="E17" s="8">
        <f t="shared" si="1"/>
        <v>30512.039121428854</v>
      </c>
      <c r="F17" s="7">
        <f t="shared" si="1"/>
        <v>97976.387814124377</v>
      </c>
      <c r="G17" s="8">
        <f t="shared" si="1"/>
        <v>14991.238910384182</v>
      </c>
      <c r="H17" s="8">
        <f t="shared" si="1"/>
        <v>31305.752139758475</v>
      </c>
      <c r="I17" s="8">
        <f t="shared" si="1"/>
        <v>6523.28956110525</v>
      </c>
      <c r="J17" s="8">
        <f t="shared" si="1"/>
        <v>719.49896431781769</v>
      </c>
      <c r="K17" s="7">
        <f t="shared" si="1"/>
        <v>103.14495642318366</v>
      </c>
      <c r="L17" s="7">
        <f t="shared" si="1"/>
        <v>3.7735959667018415</v>
      </c>
      <c r="M17" s="7">
        <f t="shared" si="1"/>
        <v>6762.2839723296993</v>
      </c>
      <c r="O17" s="7" t="s">
        <v>44</v>
      </c>
      <c r="P17" s="8">
        <f>(B17*1000)/SUM('Population Figures'!$B19:$D19)</f>
        <v>539.53075159642026</v>
      </c>
      <c r="Q17" s="7">
        <f>(C17*1000)/SUM('Population Figures'!$B19:$D19)</f>
        <v>2.6154908984071392</v>
      </c>
      <c r="R17" s="8">
        <f>(D17*1000)/SUM('Population Figures'!$B19)</f>
        <v>1.5508832671824635</v>
      </c>
      <c r="S17" s="8">
        <f>(E17*1000)/SUM('Population Figures'!$B19)</f>
        <v>400.2103767238832</v>
      </c>
      <c r="T17" s="7">
        <f>(F17*1000)/SUM('Population Figures'!$D19)</f>
        <v>1687.7058517927476</v>
      </c>
      <c r="U17" s="8">
        <f>(G17*1000)/SUM('Population Figures'!$C19)</f>
        <v>68.847051442197511</v>
      </c>
      <c r="V17" s="8">
        <f>(H17*1000)/SUM('Population Figures'!$C19)</f>
        <v>143.77122137048261</v>
      </c>
      <c r="W17" s="8">
        <f>(I17*1000)/SUM('Population Figures'!$C19)</f>
        <v>29.958114514116154</v>
      </c>
      <c r="X17" s="8">
        <f>(J17*1000)/SUM('Population Figures'!$C19)</f>
        <v>3.3042887585951481</v>
      </c>
      <c r="Y17" s="7">
        <f>(K17*1000)/SUM('Population Figures'!$C19)</f>
        <v>0.47369174511329043</v>
      </c>
      <c r="Z17" s="7">
        <f>(L17*1000)/SUM('Population Figures'!$C19)</f>
        <v>1.7330185796827702E-2</v>
      </c>
      <c r="AA17" s="7">
        <f>(M17*1000)/SUM('Population Figures'!$C19)</f>
        <v>31.05569294791524</v>
      </c>
    </row>
    <row r="18" spans="1:27">
      <c r="A18" s="7" t="s">
        <v>45</v>
      </c>
      <c r="B18" s="8">
        <f t="shared" si="1"/>
        <v>444408.84980654245</v>
      </c>
      <c r="C18" s="7">
        <f t="shared" si="1"/>
        <v>2036.4839566967603</v>
      </c>
      <c r="D18" s="8">
        <f t="shared" si="1"/>
        <v>376.10173134795019</v>
      </c>
      <c r="E18" s="8">
        <f t="shared" si="1"/>
        <v>116742.48055653262</v>
      </c>
      <c r="F18" s="7">
        <f t="shared" si="1"/>
        <v>144913.63231328412</v>
      </c>
      <c r="G18" s="8">
        <f t="shared" si="1"/>
        <v>32986.260210263026</v>
      </c>
      <c r="H18" s="8">
        <f t="shared" si="1"/>
        <v>71842.977879391881</v>
      </c>
      <c r="I18" s="8">
        <f t="shared" si="1"/>
        <v>45197.616758510187</v>
      </c>
      <c r="J18" s="8">
        <f t="shared" si="1"/>
        <v>13198.780826200807</v>
      </c>
      <c r="K18" s="7">
        <f t="shared" si="1"/>
        <v>85.534841911908401</v>
      </c>
      <c r="L18" s="7">
        <f t="shared" si="1"/>
        <v>2735.8570758588348</v>
      </c>
      <c r="M18" s="7">
        <f t="shared" si="1"/>
        <v>14293.123656544341</v>
      </c>
      <c r="O18" s="7" t="s">
        <v>45</v>
      </c>
      <c r="P18" s="8">
        <f>(B18*1000)/SUM('Population Figures'!$B20:$D20)</f>
        <v>770.08586148874952</v>
      </c>
      <c r="Q18" s="7">
        <f>(C18*1000)/SUM('Population Figures'!$B20:$D20)</f>
        <v>3.5288845010254213</v>
      </c>
      <c r="R18" s="8">
        <f>(D18*1000)/SUM('Population Figures'!$B20)</f>
        <v>3.2371494224451958</v>
      </c>
      <c r="S18" s="8">
        <f>(E18*1000)/SUM('Population Figures'!$B20)</f>
        <v>1004.8155113616675</v>
      </c>
      <c r="T18" s="7">
        <f>(F18*1000)/SUM('Population Figures'!$D20)</f>
        <v>1641.8575639945177</v>
      </c>
      <c r="U18" s="8">
        <f>(G18*1000)/SUM('Population Figures'!$C20)</f>
        <v>88.519261523066262</v>
      </c>
      <c r="V18" s="8">
        <f>(H18*1000)/SUM('Population Figures'!$C20)</f>
        <v>192.79200815626638</v>
      </c>
      <c r="W18" s="8">
        <f>(I18*1000)/SUM('Population Figures'!$C20)</f>
        <v>121.28867087579381</v>
      </c>
      <c r="X18" s="8">
        <f>(J18*1000)/SUM('Population Figures'!$C20)</f>
        <v>35.41918132861251</v>
      </c>
      <c r="Y18" s="7">
        <f>(K18*1000)/SUM('Population Figures'!$C20)</f>
        <v>0.22953438771997048</v>
      </c>
      <c r="Z18" s="7">
        <f>(L18*1000)/SUM('Population Figures'!$C20)</f>
        <v>7.3417249013372903</v>
      </c>
      <c r="AA18" s="7">
        <f>(M18*1000)/SUM('Population Figures'!$C20)</f>
        <v>38.355871289147423</v>
      </c>
    </row>
    <row r="19" spans="1:27">
      <c r="A19" s="7" t="s">
        <v>46</v>
      </c>
      <c r="B19" s="8">
        <f t="shared" si="1"/>
        <v>119978.96803064058</v>
      </c>
      <c r="C19" s="7">
        <f t="shared" si="1"/>
        <v>393.71184585922543</v>
      </c>
      <c r="D19" s="8">
        <f t="shared" si="1"/>
        <v>132.07585883456446</v>
      </c>
      <c r="E19" s="8">
        <f t="shared" si="1"/>
        <v>23020.193262203466</v>
      </c>
      <c r="F19" s="7">
        <f t="shared" si="1"/>
        <v>63313.393129323493</v>
      </c>
      <c r="G19" s="8">
        <f t="shared" si="1"/>
        <v>5354.7326767499126</v>
      </c>
      <c r="H19" s="8">
        <f t="shared" si="1"/>
        <v>17015.144213858603</v>
      </c>
      <c r="I19" s="8">
        <f t="shared" si="1"/>
        <v>7347.1913471684848</v>
      </c>
      <c r="J19" s="8">
        <f t="shared" si="1"/>
        <v>977.36135537577684</v>
      </c>
      <c r="K19" s="7">
        <f t="shared" si="1"/>
        <v>0</v>
      </c>
      <c r="L19" s="7">
        <f t="shared" si="1"/>
        <v>0</v>
      </c>
      <c r="M19" s="7">
        <f t="shared" si="1"/>
        <v>2425.1643412670501</v>
      </c>
      <c r="O19" s="7" t="s">
        <v>46</v>
      </c>
      <c r="P19" s="8">
        <f>(B19*1000)/SUM('Population Figures'!$B21:$D21)</f>
        <v>573.84239540195415</v>
      </c>
      <c r="Q19" s="7">
        <f>(C19*1000)/SUM('Population Figures'!$B21:$D21)</f>
        <v>1.883067944610797</v>
      </c>
      <c r="R19" s="8">
        <f>(D19*1000)/SUM('Population Figures'!$B21)</f>
        <v>2.9289658890418568</v>
      </c>
      <c r="S19" s="8">
        <f>(E19*1000)/SUM('Population Figures'!$B21)</f>
        <v>510.50480700338113</v>
      </c>
      <c r="T19" s="7">
        <f>(F19*1000)/SUM('Population Figures'!$D21)</f>
        <v>1759.8786171148402</v>
      </c>
      <c r="U19" s="8">
        <f>(G19*1000)/SUM('Population Figures'!$C21)</f>
        <v>41.830254249634116</v>
      </c>
      <c r="V19" s="8">
        <f>(H19*1000)/SUM('Population Figures'!$C21)</f>
        <v>132.919391410571</v>
      </c>
      <c r="W19" s="8">
        <f>(I19*1000)/SUM('Population Figures'!$C21)</f>
        <v>57.395000016939832</v>
      </c>
      <c r="X19" s="8">
        <f>(J19*1000)/SUM('Population Figures'!$C21)</f>
        <v>7.6349794578261001</v>
      </c>
      <c r="Y19" s="7">
        <f>(K19*1000)/SUM('Population Figures'!$C21)</f>
        <v>0</v>
      </c>
      <c r="Z19" s="7">
        <f>(L19*1000)/SUM('Population Figures'!$C21)</f>
        <v>0</v>
      </c>
      <c r="AA19" s="7">
        <f>(M19*1000)/SUM('Population Figures'!$C21)</f>
        <v>18.944968332932717</v>
      </c>
    </row>
    <row r="20" spans="1:27">
      <c r="A20" s="7" t="s">
        <v>47</v>
      </c>
      <c r="B20" s="8">
        <f t="shared" si="1"/>
        <v>58367.466682299615</v>
      </c>
      <c r="C20" s="7">
        <f t="shared" si="1"/>
        <v>879.247860241529</v>
      </c>
      <c r="D20" s="8">
        <f t="shared" si="1"/>
        <v>33.962363700316573</v>
      </c>
      <c r="E20" s="8">
        <f t="shared" si="1"/>
        <v>11407.580607339667</v>
      </c>
      <c r="F20" s="7">
        <f t="shared" si="1"/>
        <v>29395.05471528511</v>
      </c>
      <c r="G20" s="8">
        <f t="shared" si="1"/>
        <v>4558.5039277758242</v>
      </c>
      <c r="H20" s="8">
        <f t="shared" si="1"/>
        <v>7000.020518231916</v>
      </c>
      <c r="I20" s="8">
        <f t="shared" si="1"/>
        <v>2460.3845702896006</v>
      </c>
      <c r="J20" s="8">
        <f t="shared" si="1"/>
        <v>1010.0658537538595</v>
      </c>
      <c r="K20" s="7">
        <f t="shared" si="1"/>
        <v>0</v>
      </c>
      <c r="L20" s="7">
        <f t="shared" si="1"/>
        <v>0</v>
      </c>
      <c r="M20" s="7">
        <f t="shared" si="1"/>
        <v>1622.6462656817916</v>
      </c>
      <c r="O20" s="7" t="s">
        <v>47</v>
      </c>
      <c r="P20" s="8">
        <f>(B20*1000)/SUM('Population Figures'!$B22:$D22)</f>
        <v>702.79911718602784</v>
      </c>
      <c r="Q20" s="7">
        <f>(C20*1000)/SUM('Population Figures'!$B22:$D22)</f>
        <v>10.586970020969645</v>
      </c>
      <c r="R20" s="8">
        <f>(D20*1000)/SUM('Population Figures'!$B22)</f>
        <v>1.9027600257894881</v>
      </c>
      <c r="S20" s="8">
        <f>(E20*1000)/SUM('Population Figures'!$B22)</f>
        <v>639.11595088462479</v>
      </c>
      <c r="T20" s="7">
        <f>(F20*1000)/SUM('Population Figures'!$D22)</f>
        <v>2093.5157549522905</v>
      </c>
      <c r="U20" s="8">
        <f>(G20*1000)/SUM('Population Figures'!$C22)</f>
        <v>89.10289147333512</v>
      </c>
      <c r="V20" s="8">
        <f>(H20*1000)/SUM('Population Figures'!$C22)</f>
        <v>136.826046095229</v>
      </c>
      <c r="W20" s="8">
        <f>(I20*1000)/SUM('Population Figures'!$C22)</f>
        <v>48.091957980641141</v>
      </c>
      <c r="X20" s="8">
        <f>(J20*1000)/SUM('Population Figures'!$C22)</f>
        <v>19.743273138269341</v>
      </c>
      <c r="Y20" s="7">
        <f>(K20*1000)/SUM('Population Figures'!$C22)</f>
        <v>0</v>
      </c>
      <c r="Z20" s="7">
        <f>(L20*1000)/SUM('Population Figures'!$C22)</f>
        <v>0</v>
      </c>
      <c r="AA20" s="7">
        <f>(M20*1000)/SUM('Population Figures'!$C22)</f>
        <v>31.717088852263323</v>
      </c>
    </row>
    <row r="21" spans="1:27">
      <c r="A21" s="7" t="s">
        <v>48</v>
      </c>
      <c r="B21" s="8">
        <f t="shared" si="1"/>
        <v>49534.736389572834</v>
      </c>
      <c r="C21" s="7">
        <f t="shared" si="1"/>
        <v>1299.3748778676672</v>
      </c>
      <c r="D21" s="8">
        <f t="shared" si="1"/>
        <v>41.509555633720254</v>
      </c>
      <c r="E21" s="8">
        <f t="shared" si="1"/>
        <v>9306.9455192089754</v>
      </c>
      <c r="F21" s="7">
        <f t="shared" si="1"/>
        <v>24010.133270801583</v>
      </c>
      <c r="G21" s="8">
        <f t="shared" si="1"/>
        <v>3161.0155547739091</v>
      </c>
      <c r="H21" s="8">
        <f t="shared" si="1"/>
        <v>9323.2977683980153</v>
      </c>
      <c r="I21" s="8">
        <f t="shared" si="1"/>
        <v>1345.9158947903234</v>
      </c>
      <c r="J21" s="8">
        <f t="shared" si="1"/>
        <v>270.44104428029863</v>
      </c>
      <c r="K21" s="7">
        <f t="shared" si="1"/>
        <v>8.8050572556376299</v>
      </c>
      <c r="L21" s="7">
        <f t="shared" si="1"/>
        <v>3.7735959667018415</v>
      </c>
      <c r="M21" s="7">
        <f t="shared" si="1"/>
        <v>763.52425059600591</v>
      </c>
      <c r="O21" s="7" t="s">
        <v>48</v>
      </c>
      <c r="P21" s="8">
        <f>(B21*1000)/SUM('Population Figures'!$B23:$D23)</f>
        <v>621.43691368175678</v>
      </c>
      <c r="Q21" s="7">
        <f>(C21*1000)/SUM('Population Figures'!$B23:$D23)</f>
        <v>16.301278106481838</v>
      </c>
      <c r="R21" s="8">
        <f>(D21*1000)/SUM('Population Figures'!$B23)</f>
        <v>2.2542389287346722</v>
      </c>
      <c r="S21" s="8">
        <f>(E21*1000)/SUM('Population Figures'!$B23)</f>
        <v>505.42769193054062</v>
      </c>
      <c r="T21" s="7">
        <f>(F21*1000)/SUM('Population Figures'!$D23)</f>
        <v>1959.3710846092365</v>
      </c>
      <c r="U21" s="8">
        <f>(G21*1000)/SUM('Population Figures'!$C23)</f>
        <v>64.45527414815686</v>
      </c>
      <c r="V21" s="8">
        <f>(H21*1000)/SUM('Population Figures'!$C23)</f>
        <v>190.10843294315106</v>
      </c>
      <c r="W21" s="8">
        <f>(I21*1000)/SUM('Population Figures'!$C23)</f>
        <v>27.444147767022624</v>
      </c>
      <c r="X21" s="8">
        <f>(J21*1000)/SUM('Population Figures'!$C23)</f>
        <v>5.5144782896353863</v>
      </c>
      <c r="Y21" s="7">
        <f>(K21*1000)/SUM('Population Figures'!$C23)</f>
        <v>0.17954115361603584</v>
      </c>
      <c r="Z21" s="7">
        <f>(L21*1000)/SUM('Population Figures'!$C23)</f>
        <v>7.6946208692586796E-2</v>
      </c>
      <c r="AA21" s="7">
        <f>(M21*1000)/SUM('Population Figures'!$C23)</f>
        <v>15.568782892133395</v>
      </c>
    </row>
    <row r="22" spans="1:27">
      <c r="A22" s="7" t="s">
        <v>49</v>
      </c>
      <c r="B22" s="8">
        <f t="shared" si="1"/>
        <v>40981.252198381997</v>
      </c>
      <c r="C22" s="7">
        <f t="shared" si="1"/>
        <v>94.339899167546037</v>
      </c>
      <c r="D22" s="8">
        <f t="shared" si="1"/>
        <v>57.861804822761563</v>
      </c>
      <c r="E22" s="8">
        <f t="shared" si="1"/>
        <v>9889.3371634032919</v>
      </c>
      <c r="F22" s="7">
        <f t="shared" si="1"/>
        <v>18908.231523820694</v>
      </c>
      <c r="G22" s="8">
        <f t="shared" si="1"/>
        <v>2637.743580724587</v>
      </c>
      <c r="H22" s="8">
        <f t="shared" si="1"/>
        <v>6567.3148473834381</v>
      </c>
      <c r="I22" s="8">
        <f t="shared" si="1"/>
        <v>2047.8047445968659</v>
      </c>
      <c r="J22" s="8">
        <f t="shared" si="1"/>
        <v>220.12643139094075</v>
      </c>
      <c r="K22" s="7">
        <f t="shared" si="1"/>
        <v>0</v>
      </c>
      <c r="L22" s="7">
        <f t="shared" si="1"/>
        <v>0</v>
      </c>
      <c r="M22" s="7">
        <f t="shared" si="1"/>
        <v>558.4922030718725</v>
      </c>
      <c r="O22" s="7" t="s">
        <v>49</v>
      </c>
      <c r="P22" s="8">
        <f>(B22*1000)/SUM('Population Figures'!$B24:$D24)</f>
        <v>470.40004819079428</v>
      </c>
      <c r="Q22" s="7">
        <f>(C22*1000)/SUM('Population Figures'!$B24:$D24)</f>
        <v>1.0828730391132466</v>
      </c>
      <c r="R22" s="8">
        <f>(D22*1000)/SUM('Population Figures'!$B24)</f>
        <v>3.0001972841834266</v>
      </c>
      <c r="S22" s="8">
        <f>(E22*1000)/SUM('Population Figures'!$B24)</f>
        <v>512.77284887500218</v>
      </c>
      <c r="T22" s="7">
        <f>(F22*1000)/SUM('Population Figures'!$D24)</f>
        <v>1295.9720030034746</v>
      </c>
      <c r="U22" s="8">
        <f>(G22*1000)/SUM('Population Figures'!$C24)</f>
        <v>49.540672765468166</v>
      </c>
      <c r="V22" s="8">
        <f>(H22*1000)/SUM('Population Figures'!$C24)</f>
        <v>123.34375417668541</v>
      </c>
      <c r="W22" s="8">
        <f>(I22*1000)/SUM('Population Figures'!$C24)</f>
        <v>38.460760735423072</v>
      </c>
      <c r="X22" s="8">
        <f>(J22*1000)/SUM('Population Figures'!$C24)</f>
        <v>4.1342955335989178</v>
      </c>
      <c r="Y22" s="7">
        <f>(K22*1000)/SUM('Population Figures'!$C24)</f>
        <v>0</v>
      </c>
      <c r="Z22" s="7">
        <f>(L22*1000)/SUM('Population Figures'!$C24)</f>
        <v>0</v>
      </c>
      <c r="AA22" s="7">
        <f>(M22*1000)/SUM('Population Figures'!$C24)</f>
        <v>10.489298382388109</v>
      </c>
    </row>
    <row r="23" spans="1:27">
      <c r="A23" s="7" t="s">
        <v>50</v>
      </c>
      <c r="B23" s="8">
        <f t="shared" si="1"/>
        <v>71361.21546097628</v>
      </c>
      <c r="C23" s="7">
        <f t="shared" si="1"/>
        <v>2783.655958103725</v>
      </c>
      <c r="D23" s="8">
        <f t="shared" si="1"/>
        <v>246.54160315785364</v>
      </c>
      <c r="E23" s="8">
        <f t="shared" si="1"/>
        <v>14935.892836205889</v>
      </c>
      <c r="F23" s="7">
        <f t="shared" si="1"/>
        <v>37864.261929886277</v>
      </c>
      <c r="G23" s="8">
        <f t="shared" si="1"/>
        <v>2527.0514323679995</v>
      </c>
      <c r="H23" s="8">
        <f t="shared" si="1"/>
        <v>7460.3992261695403</v>
      </c>
      <c r="I23" s="8">
        <f t="shared" si="1"/>
        <v>2620.1334662133117</v>
      </c>
      <c r="J23" s="8">
        <f t="shared" si="1"/>
        <v>1022.644506976199</v>
      </c>
      <c r="K23" s="7">
        <f t="shared" si="1"/>
        <v>0</v>
      </c>
      <c r="L23" s="7">
        <f t="shared" si="1"/>
        <v>3.7735959667018415</v>
      </c>
      <c r="M23" s="7">
        <f t="shared" si="1"/>
        <v>1896.8609059287921</v>
      </c>
      <c r="O23" s="7" t="s">
        <v>50</v>
      </c>
      <c r="P23" s="8">
        <f>(B23*1000)/SUM('Population Figures'!$B25:$D25)</f>
        <v>524.59909917647781</v>
      </c>
      <c r="Q23" s="7">
        <f>(C23*1000)/SUM('Population Figures'!$B25:$D25)</f>
        <v>20.463544498299822</v>
      </c>
      <c r="R23" s="8">
        <f>(D23*1000)/SUM('Population Figures'!$B25)</f>
        <v>8.1463654228738314</v>
      </c>
      <c r="S23" s="8">
        <f>(E23*1000)/SUM('Population Figures'!$B25)</f>
        <v>493.52011750614224</v>
      </c>
      <c r="T23" s="7">
        <f>(F23*1000)/SUM('Population Figures'!$D25)</f>
        <v>1665.827625599924</v>
      </c>
      <c r="U23" s="8">
        <f>(G23*1000)/SUM('Population Figures'!$C25)</f>
        <v>30.43320285620694</v>
      </c>
      <c r="V23" s="8">
        <f>(H23*1000)/SUM('Population Figures'!$C25)</f>
        <v>89.845358954785155</v>
      </c>
      <c r="W23" s="8">
        <f>(I23*1000)/SUM('Population Figures'!$C25)</f>
        <v>31.554186933538602</v>
      </c>
      <c r="X23" s="8">
        <f>(J23*1000)/SUM('Population Figures'!$C25)</f>
        <v>12.315676417170854</v>
      </c>
      <c r="Y23" s="7">
        <f>(K23*1000)/SUM('Population Figures'!$C25)</f>
        <v>0</v>
      </c>
      <c r="Z23" s="7">
        <f>(L23*1000)/SUM('Population Figures'!$C25)</f>
        <v>4.5445300432364777E-2</v>
      </c>
      <c r="AA23" s="7">
        <f>(M23*1000)/SUM('Population Figures'!$C25)</f>
        <v>22.843837684002025</v>
      </c>
    </row>
    <row r="24" spans="1:27">
      <c r="A24" s="7" t="s">
        <v>51</v>
      </c>
      <c r="B24" s="8">
        <f t="shared" si="1"/>
        <v>191551.50486575215</v>
      </c>
      <c r="C24" s="7">
        <f t="shared" si="1"/>
        <v>641.511314339313</v>
      </c>
      <c r="D24" s="8">
        <f t="shared" si="1"/>
        <v>106.91855238988551</v>
      </c>
      <c r="E24" s="8">
        <f t="shared" si="1"/>
        <v>21889.372337515146</v>
      </c>
      <c r="F24" s="7">
        <f t="shared" ref="C24:M35" si="2">F66*$B$39</f>
        <v>99600.291945128396</v>
      </c>
      <c r="G24" s="8">
        <f t="shared" si="2"/>
        <v>11372.360378317117</v>
      </c>
      <c r="H24" s="8">
        <f t="shared" si="2"/>
        <v>38949.799702974175</v>
      </c>
      <c r="I24" s="8">
        <f t="shared" si="2"/>
        <v>5690.5827177863766</v>
      </c>
      <c r="J24" s="8">
        <f t="shared" si="2"/>
        <v>2041.5154179856961</v>
      </c>
      <c r="K24" s="7">
        <f t="shared" si="2"/>
        <v>0</v>
      </c>
      <c r="L24" s="7">
        <f t="shared" si="2"/>
        <v>154.71743463477549</v>
      </c>
      <c r="M24" s="7">
        <f t="shared" si="2"/>
        <v>11104.435064681285</v>
      </c>
      <c r="O24" s="7" t="s">
        <v>51</v>
      </c>
      <c r="P24" s="8">
        <f>(B24*1000)/SUM('Population Figures'!$B26:$D26)</f>
        <v>595.21317775698265</v>
      </c>
      <c r="Q24" s="7">
        <f>(C24*1000)/SUM('Population Figures'!$B26:$D26)</f>
        <v>1.9933854774075972</v>
      </c>
      <c r="R24" s="8">
        <f>(D24*1000)/SUM('Population Figures'!$B26)</f>
        <v>1.4595592375827326</v>
      </c>
      <c r="S24" s="8">
        <f>(E24*1000)/SUM('Population Figures'!$B26)</f>
        <v>298.81470414605542</v>
      </c>
      <c r="T24" s="7">
        <f>(F24*1000)/SUM('Population Figures'!$D26)</f>
        <v>2186.5185270707848</v>
      </c>
      <c r="U24" s="8">
        <f>(G24*1000)/SUM('Population Figures'!$C26)</f>
        <v>56.017616412252927</v>
      </c>
      <c r="V24" s="8">
        <f>(H24*1000)/SUM('Population Figures'!$C26)</f>
        <v>191.85770293169031</v>
      </c>
      <c r="W24" s="8">
        <f>(I24*1000)/SUM('Population Figures'!$C26)</f>
        <v>28.030494043693423</v>
      </c>
      <c r="X24" s="8">
        <f>(J24*1000)/SUM('Population Figures'!$C26)</f>
        <v>10.056032677478873</v>
      </c>
      <c r="Y24" s="7">
        <f>(K24*1000)/SUM('Population Figures'!$C26)</f>
        <v>0</v>
      </c>
      <c r="Z24" s="7">
        <f>(L24*1000)/SUM('Population Figures'!$C26)</f>
        <v>0.76210229163887944</v>
      </c>
      <c r="AA24" s="7">
        <f>(M24*1000)/SUM('Population Figures'!$C26)</f>
        <v>54.697878297463653</v>
      </c>
    </row>
    <row r="25" spans="1:27">
      <c r="A25" s="7" t="s">
        <v>52</v>
      </c>
      <c r="B25" s="8">
        <f t="shared" si="1"/>
        <v>16281.808730996212</v>
      </c>
      <c r="C25" s="7">
        <f t="shared" si="2"/>
        <v>381.13319263688595</v>
      </c>
      <c r="D25" s="8">
        <f t="shared" si="2"/>
        <v>93.082033845312083</v>
      </c>
      <c r="E25" s="8">
        <f t="shared" si="2"/>
        <v>2974.8514870832851</v>
      </c>
      <c r="F25" s="7">
        <f t="shared" si="2"/>
        <v>8883.0449056161342</v>
      </c>
      <c r="G25" s="8">
        <f t="shared" si="2"/>
        <v>1203.7771133778874</v>
      </c>
      <c r="H25" s="8">
        <f t="shared" si="2"/>
        <v>1758.495720483058</v>
      </c>
      <c r="I25" s="8">
        <f t="shared" si="2"/>
        <v>347.17082893656942</v>
      </c>
      <c r="J25" s="8">
        <f t="shared" si="2"/>
        <v>114.46574432328919</v>
      </c>
      <c r="K25" s="7">
        <f t="shared" si="2"/>
        <v>0</v>
      </c>
      <c r="L25" s="7">
        <f t="shared" si="2"/>
        <v>0</v>
      </c>
      <c r="M25" s="7">
        <f t="shared" si="2"/>
        <v>525.78770469378992</v>
      </c>
      <c r="O25" s="7" t="s">
        <v>52</v>
      </c>
      <c r="P25" s="8">
        <f>(B25*1000)/SUM('Population Figures'!$B27:$D27)</f>
        <v>843.18015178644293</v>
      </c>
      <c r="Q25" s="7">
        <f>(C25*1000)/SUM('Population Figures'!$B27:$D27)</f>
        <v>19.737607075965094</v>
      </c>
      <c r="R25" s="8">
        <f>(D25*1000)/SUM('Population Figures'!$B27)</f>
        <v>22.078281272607228</v>
      </c>
      <c r="S25" s="8">
        <f>(E25*1000)/SUM('Population Figures'!$B27)</f>
        <v>705.60993526643381</v>
      </c>
      <c r="T25" s="7">
        <f>(F25*1000)/SUM('Population Figures'!$D27)</f>
        <v>2654.0319407278562</v>
      </c>
      <c r="U25" s="8">
        <f>(G25*1000)/SUM('Population Figures'!$C27)</f>
        <v>102.47527993342024</v>
      </c>
      <c r="V25" s="8">
        <f>(H25*1000)/SUM('Population Figures'!$C27)</f>
        <v>149.69743087452608</v>
      </c>
      <c r="W25" s="8">
        <f>(I25*1000)/SUM('Population Figures'!$C27)</f>
        <v>29.553999228447211</v>
      </c>
      <c r="X25" s="8">
        <f>(J25*1000)/SUM('Population Figures'!$C27)</f>
        <v>9.7442533687996242</v>
      </c>
      <c r="Y25" s="7">
        <f>(K25*1000)/SUM('Population Figures'!$C27)</f>
        <v>0</v>
      </c>
      <c r="Z25" s="7">
        <f>(L25*1000)/SUM('Population Figures'!$C27)</f>
        <v>0</v>
      </c>
      <c r="AA25" s="7">
        <f>(M25*1000)/SUM('Population Figures'!$C27)</f>
        <v>44.759317672068612</v>
      </c>
    </row>
    <row r="26" spans="1:27">
      <c r="A26" s="7" t="s">
        <v>53</v>
      </c>
      <c r="B26" s="8">
        <f t="shared" si="1"/>
        <v>72066.877906749534</v>
      </c>
      <c r="C26" s="7">
        <f t="shared" si="2"/>
        <v>727.04615625122142</v>
      </c>
      <c r="D26" s="8">
        <f t="shared" si="2"/>
        <v>0</v>
      </c>
      <c r="E26" s="8">
        <f t="shared" si="2"/>
        <v>12065.444170868021</v>
      </c>
      <c r="F26" s="7">
        <f t="shared" si="2"/>
        <v>40663.012271856809</v>
      </c>
      <c r="G26" s="8">
        <f t="shared" si="2"/>
        <v>2042.7732833079301</v>
      </c>
      <c r="H26" s="8">
        <f t="shared" si="2"/>
        <v>10934.623246179703</v>
      </c>
      <c r="I26" s="8">
        <f t="shared" si="2"/>
        <v>3305.6700668308131</v>
      </c>
      <c r="J26" s="8">
        <f t="shared" si="2"/>
        <v>638.9955836948451</v>
      </c>
      <c r="K26" s="7">
        <f t="shared" si="2"/>
        <v>0</v>
      </c>
      <c r="L26" s="7">
        <f t="shared" si="2"/>
        <v>0</v>
      </c>
      <c r="M26" s="7">
        <f t="shared" si="2"/>
        <v>1689.313127760191</v>
      </c>
      <c r="O26" s="7" t="s">
        <v>53</v>
      </c>
      <c r="P26" s="8">
        <f>(B26*1000)/SUM('Population Figures'!$B28:$D28)</f>
        <v>530.13739816646705</v>
      </c>
      <c r="Q26" s="7">
        <f>(C26*1000)/SUM('Population Figures'!$B28:$D28)</f>
        <v>5.3482871579463103</v>
      </c>
      <c r="R26" s="8">
        <f>(D26*1000)/SUM('Population Figures'!$B28)</f>
        <v>0</v>
      </c>
      <c r="S26" s="8">
        <f>(E26*1000)/SUM('Population Figures'!$B28)</f>
        <v>420.296240320062</v>
      </c>
      <c r="T26" s="7">
        <f>(F26*1000)/SUM('Population Figures'!$D28)</f>
        <v>1575.047924695232</v>
      </c>
      <c r="U26" s="8">
        <f>(G26*1000)/SUM('Population Figures'!$C28)</f>
        <v>25.09056307492299</v>
      </c>
      <c r="V26" s="8">
        <f>(H26*1000)/SUM('Population Figures'!$C28)</f>
        <v>134.30558177974478</v>
      </c>
      <c r="W26" s="8">
        <f>(I26*1000)/SUM('Population Figures'!$C28)</f>
        <v>40.60221660153794</v>
      </c>
      <c r="X26" s="8">
        <f>(J26*1000)/SUM('Population Figures'!$C28)</f>
        <v>7.8485258879685205</v>
      </c>
      <c r="Y26" s="7">
        <f>(K26*1000)/SUM('Population Figures'!$C28)</f>
        <v>0</v>
      </c>
      <c r="Z26" s="7">
        <f>(L26*1000)/SUM('Population Figures'!$C28)</f>
        <v>0</v>
      </c>
      <c r="AA26" s="7">
        <f>(M26*1000)/SUM('Population Figures'!$C28)</f>
        <v>20.749154069964025</v>
      </c>
    </row>
    <row r="27" spans="1:27">
      <c r="A27" s="7" t="s">
        <v>54</v>
      </c>
      <c r="B27" s="8">
        <f t="shared" si="1"/>
        <v>109630.51002462189</v>
      </c>
      <c r="C27" s="7">
        <f t="shared" si="2"/>
        <v>397.4854418259273</v>
      </c>
      <c r="D27" s="8">
        <f t="shared" si="2"/>
        <v>0</v>
      </c>
      <c r="E27" s="8">
        <f t="shared" si="2"/>
        <v>23569.880408019701</v>
      </c>
      <c r="F27" s="7">
        <f t="shared" si="2"/>
        <v>47318.377691796624</v>
      </c>
      <c r="G27" s="8">
        <f t="shared" si="2"/>
        <v>9340.9078829092905</v>
      </c>
      <c r="H27" s="8">
        <f t="shared" si="2"/>
        <v>18625.211826318053</v>
      </c>
      <c r="I27" s="8">
        <f t="shared" si="2"/>
        <v>5505.6765154179866</v>
      </c>
      <c r="J27" s="8">
        <f t="shared" si="2"/>
        <v>2425.1643412670501</v>
      </c>
      <c r="K27" s="7">
        <f t="shared" si="2"/>
        <v>0</v>
      </c>
      <c r="L27" s="7">
        <f t="shared" si="2"/>
        <v>0</v>
      </c>
      <c r="M27" s="7">
        <f t="shared" si="2"/>
        <v>2447.8059170672609</v>
      </c>
      <c r="O27" s="7" t="s">
        <v>54</v>
      </c>
      <c r="P27" s="8">
        <f>(B27*1000)/SUM('Population Figures'!$B29:$D29)</f>
        <v>641.18908658686337</v>
      </c>
      <c r="Q27" s="7">
        <f>(C27*1000)/SUM('Population Figures'!$B29:$D29)</f>
        <v>2.3247481683584472</v>
      </c>
      <c r="R27" s="8">
        <f>(D27*1000)/SUM('Population Figures'!$B29)</f>
        <v>0</v>
      </c>
      <c r="S27" s="8">
        <f>(E27*1000)/SUM('Population Figures'!$B29)</f>
        <v>642.63381432559095</v>
      </c>
      <c r="T27" s="7">
        <f>(F27*1000)/SUM('Population Figures'!$D29)</f>
        <v>1759.5707902646373</v>
      </c>
      <c r="U27" s="8">
        <f>(G27*1000)/SUM('Population Figures'!$C29)</f>
        <v>86.964164591236383</v>
      </c>
      <c r="V27" s="8">
        <f>(H27*1000)/SUM('Population Figures'!$C29)</f>
        <v>173.40134461384824</v>
      </c>
      <c r="W27" s="8">
        <f>(I27*1000)/SUM('Population Figures'!$C29)</f>
        <v>51.258032374877679</v>
      </c>
      <c r="X27" s="8">
        <f>(J27*1000)/SUM('Population Figures'!$C29)</f>
        <v>22.578361073512493</v>
      </c>
      <c r="Y27" s="7">
        <f>(K27*1000)/SUM('Population Figures'!$C29)</f>
        <v>0</v>
      </c>
      <c r="Z27" s="7">
        <f>(L27*1000)/SUM('Population Figures'!$C29)</f>
        <v>0</v>
      </c>
      <c r="AA27" s="7">
        <f>(M27*1000)/SUM('Population Figures'!$C29)</f>
        <v>22.789154900962295</v>
      </c>
    </row>
    <row r="28" spans="1:27">
      <c r="A28" s="7" t="s">
        <v>55</v>
      </c>
      <c r="B28" s="8">
        <f t="shared" si="1"/>
        <v>63548.613944581244</v>
      </c>
      <c r="C28" s="7">
        <f t="shared" si="2"/>
        <v>772.32930785164353</v>
      </c>
      <c r="D28" s="8">
        <f t="shared" si="2"/>
        <v>85.534841911908401</v>
      </c>
      <c r="E28" s="8">
        <f t="shared" si="2"/>
        <v>10832.736155078752</v>
      </c>
      <c r="F28" s="7">
        <f t="shared" si="2"/>
        <v>31862.986477508115</v>
      </c>
      <c r="G28" s="8">
        <f t="shared" si="2"/>
        <v>5189.9523195372658</v>
      </c>
      <c r="H28" s="8">
        <f t="shared" si="2"/>
        <v>10958.522687302147</v>
      </c>
      <c r="I28" s="8">
        <f t="shared" si="2"/>
        <v>2193.7171219760039</v>
      </c>
      <c r="J28" s="8">
        <f t="shared" si="2"/>
        <v>417.61128698167045</v>
      </c>
      <c r="K28" s="7">
        <f t="shared" si="2"/>
        <v>0</v>
      </c>
      <c r="L28" s="7">
        <f t="shared" si="2"/>
        <v>18.867979833509207</v>
      </c>
      <c r="M28" s="7">
        <f t="shared" si="2"/>
        <v>1216.3557666002268</v>
      </c>
      <c r="O28" s="7" t="s">
        <v>55</v>
      </c>
      <c r="P28" s="8">
        <f>(B28*1000)/SUM('Population Figures'!$B30:$D30)</f>
        <v>586.89152146824199</v>
      </c>
      <c r="Q28" s="7">
        <f>(C28*1000)/SUM('Population Figures'!$B30:$D30)</f>
        <v>7.1327050965242291</v>
      </c>
      <c r="R28" s="8">
        <f>(D28*1000)/SUM('Population Figures'!$B30)</f>
        <v>3.7503767225811551</v>
      </c>
      <c r="S28" s="8">
        <f>(E28*1000)/SUM('Population Figures'!$B30)</f>
        <v>474.97418139513098</v>
      </c>
      <c r="T28" s="7">
        <f>(F28*1000)/SUM('Population Figures'!$D30)</f>
        <v>1547.4229749651847</v>
      </c>
      <c r="U28" s="8">
        <f>(G28*1000)/SUM('Population Figures'!$C30)</f>
        <v>79.990634067033483</v>
      </c>
      <c r="V28" s="8">
        <f>(H28*1000)/SUM('Population Figures'!$C30)</f>
        <v>168.8992738710605</v>
      </c>
      <c r="W28" s="8">
        <f>(I28*1000)/SUM('Population Figures'!$C30)</f>
        <v>33.810873924601644</v>
      </c>
      <c r="X28" s="8">
        <f>(J28*1000)/SUM('Population Figures'!$C30)</f>
        <v>6.4364737058301289</v>
      </c>
      <c r="Y28" s="7">
        <f>(K28*1000)/SUM('Population Figures'!$C30)</f>
        <v>0</v>
      </c>
      <c r="Z28" s="7">
        <f>(L28*1000)/SUM('Population Figures'!$C30)</f>
        <v>0.29080453490196367</v>
      </c>
      <c r="AA28" s="7">
        <f>(M28*1000)/SUM('Population Figures'!$C30)</f>
        <v>18.747199016679922</v>
      </c>
    </row>
    <row r="29" spans="1:27">
      <c r="A29" s="7" t="s">
        <v>56</v>
      </c>
      <c r="B29" s="8">
        <f t="shared" si="1"/>
        <v>16044.072185093995</v>
      </c>
      <c r="C29" s="7">
        <f t="shared" si="2"/>
        <v>66.666862078399191</v>
      </c>
      <c r="D29" s="8">
        <f t="shared" si="2"/>
        <v>194.96912494626179</v>
      </c>
      <c r="E29" s="8">
        <f t="shared" si="2"/>
        <v>3644.0358385117447</v>
      </c>
      <c r="F29" s="7">
        <f t="shared" si="2"/>
        <v>7920.7779341071646</v>
      </c>
      <c r="G29" s="8">
        <f t="shared" si="2"/>
        <v>1023.902372298433</v>
      </c>
      <c r="H29" s="8">
        <f t="shared" si="2"/>
        <v>2572.3345839684216</v>
      </c>
      <c r="I29" s="8">
        <f t="shared" si="2"/>
        <v>262.89385234689496</v>
      </c>
      <c r="J29" s="8">
        <f t="shared" si="2"/>
        <v>60.377535467229464</v>
      </c>
      <c r="K29" s="7">
        <f t="shared" si="2"/>
        <v>0</v>
      </c>
      <c r="L29" s="7">
        <f t="shared" si="2"/>
        <v>0</v>
      </c>
      <c r="M29" s="7">
        <f t="shared" si="2"/>
        <v>298.11408136944544</v>
      </c>
      <c r="O29" s="7" t="s">
        <v>56</v>
      </c>
      <c r="P29" s="8">
        <f>(B29*1000)/SUM('Population Figures'!$B31:$D31)</f>
        <v>733.61098240027411</v>
      </c>
      <c r="Q29" s="7">
        <f>(C29*1000)/SUM('Population Figures'!$B31:$D31)</f>
        <v>3.0483247406675442</v>
      </c>
      <c r="R29" s="8">
        <f>(D29*1000)/SUM('Population Figures'!$B31)</f>
        <v>37.193652221721059</v>
      </c>
      <c r="S29" s="8">
        <f>(E29*1000)/SUM('Population Figures'!$B31)</f>
        <v>695.16135797629613</v>
      </c>
      <c r="T29" s="7">
        <f>(F29*1000)/SUM('Population Figures'!$D31)</f>
        <v>2484.560205177906</v>
      </c>
      <c r="U29" s="8">
        <f>(G29*1000)/SUM('Population Figures'!$C31)</f>
        <v>76.183212224585787</v>
      </c>
      <c r="V29" s="8">
        <f>(H29*1000)/SUM('Population Figures'!$C31)</f>
        <v>191.39394225955516</v>
      </c>
      <c r="W29" s="8">
        <f>(I29*1000)/SUM('Population Figures'!$C31)</f>
        <v>19.560554490096351</v>
      </c>
      <c r="X29" s="8">
        <f>(J29*1000)/SUM('Population Figures'!$C31)</f>
        <v>4.4923761508355256</v>
      </c>
      <c r="Y29" s="7">
        <f>(K29*1000)/SUM('Population Figures'!$C31)</f>
        <v>0</v>
      </c>
      <c r="Z29" s="7">
        <f>(L29*1000)/SUM('Population Figures'!$C31)</f>
        <v>0</v>
      </c>
      <c r="AA29" s="7">
        <f>(M29*1000)/SUM('Population Figures'!$C31)</f>
        <v>22.181107244750404</v>
      </c>
    </row>
    <row r="30" spans="1:27">
      <c r="A30" s="7" t="s">
        <v>57</v>
      </c>
      <c r="B30" s="8">
        <f t="shared" si="1"/>
        <v>67190.134052448513</v>
      </c>
      <c r="C30" s="7">
        <f t="shared" si="2"/>
        <v>46.541016922656041</v>
      </c>
      <c r="D30" s="8">
        <f t="shared" si="2"/>
        <v>57.861804822761563</v>
      </c>
      <c r="E30" s="8">
        <f t="shared" si="2"/>
        <v>14213.878141243602</v>
      </c>
      <c r="F30" s="7">
        <f t="shared" si="2"/>
        <v>37713.3180912182</v>
      </c>
      <c r="G30" s="8">
        <f t="shared" si="2"/>
        <v>3875.4830578027909</v>
      </c>
      <c r="H30" s="8">
        <f t="shared" si="2"/>
        <v>8319.5212412553265</v>
      </c>
      <c r="I30" s="8">
        <f t="shared" si="2"/>
        <v>1132.0787900105524</v>
      </c>
      <c r="J30" s="8">
        <f t="shared" si="2"/>
        <v>327.04498378082627</v>
      </c>
      <c r="K30" s="7">
        <f t="shared" si="2"/>
        <v>0</v>
      </c>
      <c r="L30" s="7">
        <f t="shared" si="2"/>
        <v>0</v>
      </c>
      <c r="M30" s="7">
        <f t="shared" si="2"/>
        <v>1504.4069253918008</v>
      </c>
      <c r="O30" s="7" t="s">
        <v>57</v>
      </c>
      <c r="P30" s="8">
        <f>(B30*1000)/SUM('Population Figures'!$B32:$D32)</f>
        <v>602.17004886582288</v>
      </c>
      <c r="Q30" s="7">
        <f>(C30*1000)/SUM('Population Figures'!$B32:$D32)</f>
        <v>0.41710895252425201</v>
      </c>
      <c r="R30" s="8">
        <f>(D30*1000)/SUM('Population Figures'!$B32)</f>
        <v>2.5838083782603181</v>
      </c>
      <c r="S30" s="8">
        <f>(E30*1000)/SUM('Population Figures'!$B32)</f>
        <v>634.71814509438252</v>
      </c>
      <c r="T30" s="7">
        <f>(F30*1000)/SUM('Population Figures'!$D32)</f>
        <v>1719.6351325164471</v>
      </c>
      <c r="U30" s="8">
        <f>(G30*1000)/SUM('Population Figures'!$C32)</f>
        <v>57.62371656832638</v>
      </c>
      <c r="V30" s="8">
        <f>(H30*1000)/SUM('Population Figures'!$C32)</f>
        <v>123.70115591785482</v>
      </c>
      <c r="W30" s="8">
        <f>(I30*1000)/SUM('Population Figures'!$C32)</f>
        <v>16.832633856375768</v>
      </c>
      <c r="X30" s="8">
        <f>(J30*1000)/SUM('Population Figures'!$C32)</f>
        <v>4.862760891841889</v>
      </c>
      <c r="Y30" s="7">
        <f>(K30*1000)/SUM('Population Figures'!$C32)</f>
        <v>0</v>
      </c>
      <c r="Z30" s="7">
        <f>(L30*1000)/SUM('Population Figures'!$C32)</f>
        <v>0</v>
      </c>
      <c r="AA30" s="7">
        <f>(M30*1000)/SUM('Population Figures'!$C32)</f>
        <v>22.36870010247269</v>
      </c>
    </row>
    <row r="31" spans="1:27">
      <c r="A31" s="7" t="s">
        <v>58</v>
      </c>
      <c r="B31" s="8">
        <f t="shared" si="1"/>
        <v>149862.07449095245</v>
      </c>
      <c r="C31" s="7">
        <f t="shared" si="2"/>
        <v>1855.3513502950721</v>
      </c>
      <c r="D31" s="8">
        <f t="shared" si="2"/>
        <v>113.20787900105523</v>
      </c>
      <c r="E31" s="8">
        <f t="shared" si="2"/>
        <v>27469.262906944936</v>
      </c>
      <c r="F31" s="7">
        <f t="shared" si="2"/>
        <v>74825.376558408578</v>
      </c>
      <c r="G31" s="8">
        <f t="shared" si="2"/>
        <v>6915.7435416422413</v>
      </c>
      <c r="H31" s="8">
        <f t="shared" si="2"/>
        <v>28704.486653378674</v>
      </c>
      <c r="I31" s="8">
        <f t="shared" si="2"/>
        <v>4011.3325126040572</v>
      </c>
      <c r="J31" s="8">
        <f t="shared" si="2"/>
        <v>1104.4057529214056</v>
      </c>
      <c r="K31" s="7">
        <f t="shared" si="2"/>
        <v>0</v>
      </c>
      <c r="L31" s="7">
        <f t="shared" si="2"/>
        <v>0</v>
      </c>
      <c r="M31" s="7">
        <f t="shared" si="2"/>
        <v>4862.9073357564394</v>
      </c>
      <c r="O31" s="7" t="s">
        <v>58</v>
      </c>
      <c r="P31" s="8">
        <f>(B31*1000)/SUM('Population Figures'!$B33:$D33)</f>
        <v>494.57798254497362</v>
      </c>
      <c r="Q31" s="7">
        <f>(C31*1000)/SUM('Population Figures'!$B33:$D33)</f>
        <v>6.1230697016437476</v>
      </c>
      <c r="R31" s="8">
        <f>(D31*1000)/SUM('Population Figures'!$B33)</f>
        <v>1.7110968546584127</v>
      </c>
      <c r="S31" s="8">
        <f>(E31*1000)/SUM('Population Figures'!$B33)</f>
        <v>415.18814568922681</v>
      </c>
      <c r="T31" s="7">
        <f>(F31*1000)/SUM('Population Figures'!$D33)</f>
        <v>1584.4106330921225</v>
      </c>
      <c r="U31" s="8">
        <f>(G31*1000)/SUM('Population Figures'!$C33)</f>
        <v>36.471016393803708</v>
      </c>
      <c r="V31" s="8">
        <f>(H31*1000)/SUM('Population Figures'!$C33)</f>
        <v>151.37660860432896</v>
      </c>
      <c r="W31" s="8">
        <f>(I31*1000)/SUM('Population Figures'!$C33)</f>
        <v>21.154250869377961</v>
      </c>
      <c r="X31" s="8">
        <f>(J31*1000)/SUM('Population Figures'!$C33)</f>
        <v>5.8242183328045938</v>
      </c>
      <c r="Y31" s="7">
        <f>(K31*1000)/SUM('Population Figures'!$C33)</f>
        <v>0</v>
      </c>
      <c r="Z31" s="7">
        <f>(L31*1000)/SUM('Population Figures'!$C33)</f>
        <v>0</v>
      </c>
      <c r="AA31" s="7">
        <f>(M31*1000)/SUM('Population Figures'!$C33)</f>
        <v>25.645134481346883</v>
      </c>
    </row>
    <row r="32" spans="1:27">
      <c r="A32" s="7" t="s">
        <v>59</v>
      </c>
      <c r="B32" s="8">
        <f t="shared" si="1"/>
        <v>53796.384101301446</v>
      </c>
      <c r="C32" s="7">
        <f t="shared" si="2"/>
        <v>475.47309180443199</v>
      </c>
      <c r="D32" s="8">
        <f t="shared" si="2"/>
        <v>0</v>
      </c>
      <c r="E32" s="8">
        <f t="shared" si="2"/>
        <v>9067.9511079845252</v>
      </c>
      <c r="F32" s="7">
        <f t="shared" si="2"/>
        <v>24670.512564974404</v>
      </c>
      <c r="G32" s="8">
        <f t="shared" si="2"/>
        <v>2752.2093250478761</v>
      </c>
      <c r="H32" s="8">
        <f t="shared" si="2"/>
        <v>10152.231015750187</v>
      </c>
      <c r="I32" s="8">
        <f t="shared" si="2"/>
        <v>1993.7165357408062</v>
      </c>
      <c r="J32" s="8">
        <f t="shared" si="2"/>
        <v>547.17141517176697</v>
      </c>
      <c r="K32" s="7">
        <f t="shared" si="2"/>
        <v>0</v>
      </c>
      <c r="L32" s="7">
        <f t="shared" si="2"/>
        <v>0</v>
      </c>
      <c r="M32" s="7">
        <f t="shared" si="2"/>
        <v>4137.1190448274519</v>
      </c>
      <c r="O32" s="7" t="s">
        <v>59</v>
      </c>
      <c r="P32" s="8">
        <f>(B32*1000)/SUM('Population Figures'!$B34:$D34)</f>
        <v>622.85960520205447</v>
      </c>
      <c r="Q32" s="7">
        <f>(C32*1000)/SUM('Population Figures'!$B34:$D34)</f>
        <v>5.5050722681999771</v>
      </c>
      <c r="R32" s="8">
        <f>(D32*1000)/SUM('Population Figures'!$B34)</f>
        <v>0</v>
      </c>
      <c r="S32" s="8">
        <f>(E32*1000)/SUM('Population Figures'!$B34)</f>
        <v>479.48134031221048</v>
      </c>
      <c r="T32" s="7">
        <f>(F32*1000)/SUM('Population Figures'!$D34)</f>
        <v>1793.5668894928683</v>
      </c>
      <c r="U32" s="8">
        <f>(G32*1000)/SUM('Population Figures'!$C34)</f>
        <v>51.2487072425726</v>
      </c>
      <c r="V32" s="8">
        <f>(H32*1000)/SUM('Population Figures'!$C34)</f>
        <v>189.04402018044033</v>
      </c>
      <c r="W32" s="8">
        <f>(I32*1000)/SUM('Population Figures'!$C34)</f>
        <v>37.124863336141487</v>
      </c>
      <c r="X32" s="8">
        <f>(J32*1000)/SUM('Population Figures'!$C34)</f>
        <v>10.188842619067222</v>
      </c>
      <c r="Y32" s="7">
        <f>(K32*1000)/SUM('Population Figures'!$C34)</f>
        <v>0</v>
      </c>
      <c r="Z32" s="7">
        <f>(L32*1000)/SUM('Population Figures'!$C34)</f>
        <v>0</v>
      </c>
      <c r="AA32" s="7">
        <f>(M32*1000)/SUM('Population Figures'!$C34)</f>
        <v>77.037019250832387</v>
      </c>
    </row>
    <row r="33" spans="1:27">
      <c r="A33" s="7" t="s">
        <v>60</v>
      </c>
      <c r="B33" s="8">
        <f t="shared" si="1"/>
        <v>72529.772345331628</v>
      </c>
      <c r="C33" s="7">
        <f t="shared" si="2"/>
        <v>637.7377183726112</v>
      </c>
      <c r="D33" s="8">
        <f t="shared" si="2"/>
        <v>52.830343533825776</v>
      </c>
      <c r="E33" s="8">
        <f t="shared" si="2"/>
        <v>13834.00281392895</v>
      </c>
      <c r="F33" s="7">
        <f t="shared" si="2"/>
        <v>29478.073826552551</v>
      </c>
      <c r="G33" s="8">
        <f t="shared" si="2"/>
        <v>5573.6012428186195</v>
      </c>
      <c r="H33" s="8">
        <f t="shared" si="2"/>
        <v>13815.134834095441</v>
      </c>
      <c r="I33" s="8">
        <f t="shared" si="2"/>
        <v>6025.1748935006062</v>
      </c>
      <c r="J33" s="8">
        <f t="shared" si="2"/>
        <v>2874.2222613045692</v>
      </c>
      <c r="K33" s="7">
        <f t="shared" si="2"/>
        <v>110.69214835658734</v>
      </c>
      <c r="L33" s="7">
        <f t="shared" si="2"/>
        <v>128.30226286786259</v>
      </c>
      <c r="M33" s="7">
        <f t="shared" si="2"/>
        <v>0</v>
      </c>
      <c r="O33" s="7" t="s">
        <v>60</v>
      </c>
      <c r="P33" s="8">
        <f>(B33*1000)/SUM('Population Figures'!$B35:$D35)</f>
        <v>785.63444914787283</v>
      </c>
      <c r="Q33" s="7">
        <f>(C33*1000)/SUM('Population Figures'!$B35:$D35)</f>
        <v>6.9079042284728249</v>
      </c>
      <c r="R33" s="8">
        <f>(D33*1000)/SUM('Population Figures'!$B35)</f>
        <v>2.5982562107817722</v>
      </c>
      <c r="S33" s="8">
        <f>(E33*1000)/SUM('Population Figures'!$B35)</f>
        <v>680.37194776614126</v>
      </c>
      <c r="T33" s="7">
        <f>(F33*1000)/SUM('Population Figures'!$D35)</f>
        <v>2009.6859712675587</v>
      </c>
      <c r="U33" s="8">
        <f>(G33*1000)/SUM('Population Figures'!$C35)</f>
        <v>97.238284736625189</v>
      </c>
      <c r="V33" s="8">
        <f>(H33*1000)/SUM('Population Figures'!$C35)</f>
        <v>241.02190956045013</v>
      </c>
      <c r="W33" s="8">
        <f>(I33*1000)/SUM('Population Figures'!$C35)</f>
        <v>105.11653890508569</v>
      </c>
      <c r="X33" s="8">
        <f>(J33*1000)/SUM('Population Figures'!$C35)</f>
        <v>50.144319707332116</v>
      </c>
      <c r="Y33" s="7">
        <f>(K33*1000)/SUM('Population Figures'!$C35)</f>
        <v>1.9311597961685887</v>
      </c>
      <c r="Z33" s="7">
        <f>(L33*1000)/SUM('Population Figures'!$C35)</f>
        <v>2.2383897637408641</v>
      </c>
      <c r="AA33" s="7">
        <f>(M33*1000)/SUM('Population Figures'!$C35)</f>
        <v>0</v>
      </c>
    </row>
    <row r="34" spans="1:27">
      <c r="A34" s="7" t="s">
        <v>61</v>
      </c>
      <c r="B34" s="8">
        <f t="shared" si="1"/>
        <v>71542.34806737797</v>
      </c>
      <c r="C34" s="7">
        <f t="shared" si="2"/>
        <v>3761.0173134795018</v>
      </c>
      <c r="D34" s="8">
        <f t="shared" si="2"/>
        <v>349.68655958103727</v>
      </c>
      <c r="E34" s="8">
        <f t="shared" si="2"/>
        <v>17956.027474889594</v>
      </c>
      <c r="F34" s="7">
        <f t="shared" si="2"/>
        <v>27161.08590299762</v>
      </c>
      <c r="G34" s="8">
        <f t="shared" si="2"/>
        <v>6388.6979716262176</v>
      </c>
      <c r="H34" s="8">
        <f t="shared" si="2"/>
        <v>10149.71528510572</v>
      </c>
      <c r="I34" s="8">
        <f t="shared" si="2"/>
        <v>3196.2357837964596</v>
      </c>
      <c r="J34" s="8">
        <f t="shared" si="2"/>
        <v>1015.0973150427953</v>
      </c>
      <c r="K34" s="7">
        <f t="shared" si="2"/>
        <v>10.062922577871577</v>
      </c>
      <c r="L34" s="7">
        <f t="shared" si="2"/>
        <v>0</v>
      </c>
      <c r="M34" s="7">
        <f t="shared" si="2"/>
        <v>1554.7215382811587</v>
      </c>
      <c r="O34" s="7" t="s">
        <v>61</v>
      </c>
      <c r="P34" s="8">
        <f>(B34*1000)/SUM('Population Figures'!$B36:$D36)</f>
        <v>444.30721691329006</v>
      </c>
      <c r="Q34" s="7">
        <f>(C34*1000)/SUM('Population Figures'!$B36:$D36)</f>
        <v>23.357454437209675</v>
      </c>
      <c r="R34" s="8">
        <f>(D34*1000)/SUM('Population Figures'!$B36)</f>
        <v>9.004417653689643</v>
      </c>
      <c r="S34" s="8">
        <f>(E34*1000)/SUM('Population Figures'!$B36)</f>
        <v>462.36712951949517</v>
      </c>
      <c r="T34" s="7">
        <f>(F34*1000)/SUM('Population Figures'!$D36)</f>
        <v>1415.4508261502747</v>
      </c>
      <c r="U34" s="8">
        <f>(G34*1000)/SUM('Population Figures'!$C36)</f>
        <v>62.028602777061415</v>
      </c>
      <c r="V34" s="8">
        <f>(H34*1000)/SUM('Population Figures'!$C36)</f>
        <v>98.544752078777037</v>
      </c>
      <c r="W34" s="8">
        <f>(I34*1000)/SUM('Population Figures'!$C36)</f>
        <v>31.03262052697638</v>
      </c>
      <c r="X34" s="8">
        <f>(J34*1000)/SUM('Population Figures'!$C36)</f>
        <v>9.8556964837740821</v>
      </c>
      <c r="Y34" s="7">
        <f>(K34*1000)/SUM('Population Figures'!$C36)</f>
        <v>9.7702071710275909E-2</v>
      </c>
      <c r="Z34" s="7">
        <f>(L34*1000)/SUM('Population Figures'!$C36)</f>
        <v>0</v>
      </c>
      <c r="AA34" s="7">
        <f>(M34*1000)/SUM('Population Figures'!$C36)</f>
        <v>15.094970079237628</v>
      </c>
    </row>
    <row r="35" spans="1:27">
      <c r="A35" s="52" t="s">
        <v>5</v>
      </c>
      <c r="B35" s="53">
        <f t="shared" si="1"/>
        <v>3019696.7078403099</v>
      </c>
      <c r="C35" s="52">
        <f t="shared" si="2"/>
        <v>27756.056200414278</v>
      </c>
      <c r="D35" s="53">
        <f t="shared" si="2"/>
        <v>3119.5059991401886</v>
      </c>
      <c r="E35" s="53">
        <f t="shared" si="2"/>
        <v>606355.23644819646</v>
      </c>
      <c r="F35" s="52">
        <f t="shared" si="2"/>
        <v>1406158.8386680738</v>
      </c>
      <c r="G35" s="53">
        <f t="shared" si="2"/>
        <v>199915.05139328568</v>
      </c>
      <c r="H35" s="53">
        <f t="shared" si="2"/>
        <v>490295.77676163684</v>
      </c>
      <c r="I35" s="53">
        <f t="shared" si="2"/>
        <v>150040.69136670968</v>
      </c>
      <c r="J35" s="53">
        <f t="shared" si="2"/>
        <v>43486.919920272019</v>
      </c>
      <c r="K35" s="52">
        <f t="shared" si="2"/>
        <v>2652.8379645913942</v>
      </c>
      <c r="L35" s="52">
        <f t="shared" si="2"/>
        <v>4785.9838398405445</v>
      </c>
      <c r="M35" s="52">
        <f t="shared" si="2"/>
        <v>85129.80927814907</v>
      </c>
      <c r="O35" s="52" t="s">
        <v>5</v>
      </c>
      <c r="P35" s="53">
        <f>(B35*1000)/SUM('Population Figures'!$B37:$D37)</f>
        <v>597.08480797253731</v>
      </c>
      <c r="Q35" s="52">
        <f>(C35*1000)/SUM('Population Figures'!$B37:$D37)</f>
        <v>5.48820662799349</v>
      </c>
      <c r="R35" s="53">
        <f>(D35*1000)/SUM('Population Figures'!$B37)</f>
        <v>2.90545529653394</v>
      </c>
      <c r="S35" s="53">
        <f>(E35*1000)/SUM('Population Figures'!$B37)</f>
        <v>564.74904481833971</v>
      </c>
      <c r="T35" s="52">
        <f>(F35*1000)/SUM('Population Figures'!$D37)</f>
        <v>1716.7895981970539</v>
      </c>
      <c r="U35" s="53">
        <f>(G35*1000)/SUM('Population Figures'!$C37)</f>
        <v>63.170999582352536</v>
      </c>
      <c r="V35" s="53">
        <f>(H35*1000)/SUM('Population Figures'!$C37)</f>
        <v>154.92817620874149</v>
      </c>
      <c r="W35" s="53">
        <f>(I35*1000)/SUM('Population Figures'!$C37)</f>
        <v>47.411239852151709</v>
      </c>
      <c r="X35" s="53">
        <f>(J35*1000)/SUM('Population Figures'!$C37)</f>
        <v>13.741397563493141</v>
      </c>
      <c r="Y35" s="52">
        <f>(K35*1000)/SUM('Population Figures'!$C37)</f>
        <v>0.83826817833527223</v>
      </c>
      <c r="Z35" s="52">
        <f>(L35*1000)/SUM('Population Figures'!$C37)</f>
        <v>1.5123192628099797</v>
      </c>
      <c r="AA35" s="52">
        <f>(M35*1000)/SUM('Population Figures'!$C37)</f>
        <v>26.900101362434594</v>
      </c>
    </row>
    <row r="37" spans="1:27" ht="13.5" thickBot="1"/>
    <row r="38" spans="1:27">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27" ht="13.5" thickBot="1">
      <c r="A39" s="556" t="s">
        <v>374</v>
      </c>
      <c r="B39" s="561">
        <f>Deflators!$K$2/Deflators!B2</f>
        <v>1.2578653222339471</v>
      </c>
      <c r="C39" s="565">
        <f>Deflators!$K$2/Deflators!C2</f>
        <v>1.2198372792278347</v>
      </c>
      <c r="D39" s="565">
        <f>Deflators!$K$2/Deflators!D2</f>
        <v>1.1851747290380392</v>
      </c>
      <c r="E39" s="565">
        <f>Deflators!$K$2/Deflators!E2</f>
        <v>1.1511498980650239</v>
      </c>
      <c r="F39" s="565">
        <f>Deflators!$K$2/Deflators!F2</f>
        <v>1.1192446793712618</v>
      </c>
      <c r="G39" s="565">
        <f>Deflators!$K$2/Deflators!G2</f>
        <v>1.0903639628245232</v>
      </c>
      <c r="H39" s="565">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27">
      <c r="N40" s="233"/>
      <c r="S40" s="11"/>
      <c r="V40" s="11"/>
      <c r="W40" s="11"/>
      <c r="X40" s="149"/>
    </row>
    <row r="41" spans="1:27">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63.75">
      <c r="A44" s="21" t="s">
        <v>26</v>
      </c>
      <c r="B44" s="10" t="s">
        <v>9</v>
      </c>
      <c r="C44" s="9" t="s">
        <v>10</v>
      </c>
      <c r="D44" s="10" t="s">
        <v>11</v>
      </c>
      <c r="E44" s="10" t="s">
        <v>12</v>
      </c>
      <c r="F44" s="9" t="s">
        <v>14</v>
      </c>
      <c r="G44" s="10" t="s">
        <v>15</v>
      </c>
      <c r="H44" s="10" t="s">
        <v>16</v>
      </c>
      <c r="I44" s="10" t="s">
        <v>17</v>
      </c>
      <c r="J44" s="446" t="s">
        <v>351</v>
      </c>
      <c r="K44" s="44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27">
      <c r="A45" s="7" t="s">
        <v>31</v>
      </c>
      <c r="B45" s="425">
        <v>114158</v>
      </c>
      <c r="C45" s="280">
        <v>272</v>
      </c>
      <c r="D45" s="425">
        <v>0</v>
      </c>
      <c r="E45" s="425">
        <v>22340</v>
      </c>
      <c r="F45" s="280">
        <v>51247</v>
      </c>
      <c r="G45" s="425">
        <v>7916</v>
      </c>
      <c r="H45" s="425">
        <v>18657</v>
      </c>
      <c r="I45" s="425">
        <v>7550</v>
      </c>
      <c r="J45" s="425">
        <v>2719</v>
      </c>
      <c r="K45" s="280">
        <v>0</v>
      </c>
      <c r="L45" s="280">
        <v>31</v>
      </c>
      <c r="M45" s="280">
        <v>3426</v>
      </c>
      <c r="N45" s="233"/>
      <c r="O45" s="7" t="s">
        <v>31</v>
      </c>
      <c r="P45" s="425">
        <f>(B45*1000)/SUM('Population Figures'!$B5:$D5)</f>
        <v>550.18555111089688</v>
      </c>
      <c r="Q45" s="280">
        <f>(C45/SUM('Population Figures'!B5:D5))*1000</f>
        <v>1.3109065497132393</v>
      </c>
      <c r="R45" s="425">
        <f>(D45/'Population Figures'!B5)*1000</f>
        <v>0</v>
      </c>
      <c r="S45" s="425">
        <f>(E45/'Population Figures'!B5)*1000</f>
        <v>586.45945449295141</v>
      </c>
      <c r="T45" s="280">
        <f>(F45/'Population Figures'!D5)*1000</f>
        <v>1584.4360623299528</v>
      </c>
      <c r="U45" s="425">
        <f>(G45/'Population Figures'!C5)*1000</f>
        <v>57.758677300022619</v>
      </c>
      <c r="V45" s="425">
        <f>(H45/'Population Figures'!C5)*1000</f>
        <v>136.1298183914252</v>
      </c>
      <c r="W45" s="425">
        <f>(I45/'Population Figures'!C5)*1000</f>
        <v>55.088177566342949</v>
      </c>
      <c r="X45" s="500">
        <f>(J45/'Population Figures'!C5)*1000</f>
        <v>19.839040371243243</v>
      </c>
      <c r="Y45" s="186">
        <f>(K45/'Population Figures'!C5)*1000</f>
        <v>0</v>
      </c>
      <c r="Z45" s="186">
        <f>(L45/'Population Figures'!C5)*1000</f>
        <v>0.22618986815319622</v>
      </c>
      <c r="AA45" s="501">
        <f>(M45/'Population Figures'!C5)*1000</f>
        <v>24.997628654608071</v>
      </c>
    </row>
    <row r="46" spans="1:27">
      <c r="A46" s="7" t="s">
        <v>32</v>
      </c>
      <c r="B46" s="425">
        <v>90787</v>
      </c>
      <c r="C46" s="280">
        <v>584</v>
      </c>
      <c r="D46" s="425">
        <v>0</v>
      </c>
      <c r="E46" s="425">
        <v>14366</v>
      </c>
      <c r="F46" s="280">
        <v>46191</v>
      </c>
      <c r="G46" s="425">
        <v>3202</v>
      </c>
      <c r="H46" s="425">
        <v>21245</v>
      </c>
      <c r="I46" s="425">
        <v>2863</v>
      </c>
      <c r="J46" s="425">
        <v>906</v>
      </c>
      <c r="K46" s="280">
        <v>0</v>
      </c>
      <c r="L46" s="280">
        <v>0</v>
      </c>
      <c r="M46" s="280">
        <v>1430</v>
      </c>
      <c r="N46" s="233"/>
      <c r="O46" s="7" t="s">
        <v>32</v>
      </c>
      <c r="P46" s="425">
        <f>(B46*1000)/SUM('Population Figures'!$B6:$D6)</f>
        <v>396.83101669726375</v>
      </c>
      <c r="Q46" s="280">
        <f>(C46/SUM('Population Figures'!B6:D6))*1000</f>
        <v>2.5526706879972028</v>
      </c>
      <c r="R46" s="425">
        <f>(D46/'Population Figures'!B6)*1000</f>
        <v>0</v>
      </c>
      <c r="S46" s="425">
        <f>(E46/'Population Figures'!B6)*1000</f>
        <v>271.46636432350721</v>
      </c>
      <c r="T46" s="280">
        <f>(F46/'Population Figures'!D6)*1000</f>
        <v>1362.7271654472504</v>
      </c>
      <c r="U46" s="425">
        <f>(G46/'Population Figures'!C6)*1000</f>
        <v>22.555013947197882</v>
      </c>
      <c r="V46" s="425">
        <f>(H46/'Population Figures'!C6)*1000</f>
        <v>149.65061564903777</v>
      </c>
      <c r="W46" s="425">
        <f>(I46/'Population Figures'!C6)*1000</f>
        <v>20.16708461300048</v>
      </c>
      <c r="X46" s="500">
        <f>(J46/'Population Figures'!C6)*1000</f>
        <v>6.38189963652757</v>
      </c>
      <c r="Y46" s="186">
        <f>(K46/'Population Figures'!C6)*1000</f>
        <v>0</v>
      </c>
      <c r="Z46" s="186">
        <f>(L46/'Population Figures'!C6)*1000</f>
        <v>0</v>
      </c>
      <c r="AA46" s="501">
        <f>(M46/'Population Figures'!C6)*1000</f>
        <v>10.072976247499366</v>
      </c>
    </row>
    <row r="47" spans="1:27">
      <c r="A47" s="7" t="s">
        <v>33</v>
      </c>
      <c r="B47" s="425">
        <v>43519</v>
      </c>
      <c r="C47" s="280">
        <v>90</v>
      </c>
      <c r="D47" s="425">
        <v>99</v>
      </c>
      <c r="E47" s="425">
        <v>8697</v>
      </c>
      <c r="F47" s="280">
        <v>28415</v>
      </c>
      <c r="G47" s="425">
        <v>2734</v>
      </c>
      <c r="H47" s="425">
        <v>6678</v>
      </c>
      <c r="I47" s="425">
        <v>1696</v>
      </c>
      <c r="J47" s="425">
        <v>249</v>
      </c>
      <c r="K47" s="280">
        <v>4</v>
      </c>
      <c r="L47" s="280">
        <v>0</v>
      </c>
      <c r="M47" s="280">
        <v>-5143</v>
      </c>
      <c r="N47" s="233"/>
      <c r="O47" s="7" t="s">
        <v>33</v>
      </c>
      <c r="P47" s="425">
        <f>(B47*1000)/SUM('Population Figures'!$B7:$D7)</f>
        <v>405.16711665580488</v>
      </c>
      <c r="Q47" s="280">
        <f>(C47/SUM('Population Figures'!B7:D7))*1000</f>
        <v>0.83791080904943671</v>
      </c>
      <c r="R47" s="425">
        <f>(D47/'Population Figures'!B7)*1000</f>
        <v>4.3455359494337635</v>
      </c>
      <c r="S47" s="425">
        <f>(E47/'Population Figures'!B7)*1000</f>
        <v>381.7487490123782</v>
      </c>
      <c r="T47" s="280">
        <f>(F47/'Population Figures'!D7)*1000</f>
        <v>1423.5971943887776</v>
      </c>
      <c r="U47" s="425">
        <f>(G47/'Population Figures'!C7)*1000</f>
        <v>42.277478814869795</v>
      </c>
      <c r="V47" s="425">
        <f>(H47/'Population Figures'!C7)*1000</f>
        <v>103.26591204305066</v>
      </c>
      <c r="W47" s="425">
        <f>(I47/'Population Figures'!C7)*1000</f>
        <v>26.226263376012867</v>
      </c>
      <c r="X47" s="500">
        <f>(J47/'Population Figures'!C7)*1000</f>
        <v>3.8504360734830207</v>
      </c>
      <c r="Y47" s="186">
        <f>(K47/'Population Figures'!C7)*1000</f>
        <v>6.1854394754747334E-2</v>
      </c>
      <c r="Z47" s="186">
        <f>(L47/'Population Figures'!C7)*1000</f>
        <v>0</v>
      </c>
      <c r="AA47" s="501">
        <f>(M47/'Population Figures'!C7)*1000</f>
        <v>-79.529288055916368</v>
      </c>
    </row>
    <row r="48" spans="1:27">
      <c r="A48" s="7" t="s">
        <v>34</v>
      </c>
      <c r="B48" s="425">
        <v>50903</v>
      </c>
      <c r="C48" s="280">
        <v>499</v>
      </c>
      <c r="D48" s="425">
        <v>105</v>
      </c>
      <c r="E48" s="425">
        <v>7021</v>
      </c>
      <c r="F48" s="280">
        <v>24770</v>
      </c>
      <c r="G48" s="425">
        <v>715</v>
      </c>
      <c r="H48" s="425">
        <v>13892</v>
      </c>
      <c r="I48" s="425">
        <v>2988</v>
      </c>
      <c r="J48" s="425">
        <v>371</v>
      </c>
      <c r="K48" s="280">
        <v>0</v>
      </c>
      <c r="L48" s="280">
        <v>0</v>
      </c>
      <c r="M48" s="280">
        <v>542</v>
      </c>
      <c r="N48" s="233"/>
      <c r="O48" s="7" t="s">
        <v>34</v>
      </c>
      <c r="P48" s="425">
        <f>(B48*1000)/SUM('Population Figures'!$B8:$D8)</f>
        <v>557.53559693318732</v>
      </c>
      <c r="Q48" s="280">
        <f>(C48/SUM('Population Figures'!B8:D8))*1000</f>
        <v>5.4654983570646216</v>
      </c>
      <c r="R48" s="425">
        <f>(D48/'Population Figures'!B8)*1000</f>
        <v>5.5839183152520739</v>
      </c>
      <c r="S48" s="425">
        <f>(E48/'Population Figures'!B8)*1000</f>
        <v>373.37800467985534</v>
      </c>
      <c r="T48" s="280">
        <f>(F48/'Population Figures'!D8)*1000</f>
        <v>1424.3818286371477</v>
      </c>
      <c r="U48" s="425">
        <f>(G48/'Population Figures'!C8)*1000</f>
        <v>12.974993648604508</v>
      </c>
      <c r="V48" s="425">
        <f>(H48/'Population Figures'!C8)*1000</f>
        <v>252.09596051246686</v>
      </c>
      <c r="W48" s="425">
        <f>(I48/'Population Figures'!C8)*1000</f>
        <v>54.222770660182199</v>
      </c>
      <c r="X48" s="500">
        <f>(J48/'Population Figures'!C8)*1000</f>
        <v>6.7324792218633185</v>
      </c>
      <c r="Y48" s="186">
        <f>(K48/'Population Figures'!C8)*1000</f>
        <v>0</v>
      </c>
      <c r="Z48" s="186">
        <f>(L48/'Population Figures'!C8)*1000</f>
        <v>0</v>
      </c>
      <c r="AA48" s="501">
        <f>(M48/'Population Figures'!C8)*1000</f>
        <v>9.8355895909701303</v>
      </c>
    </row>
    <row r="49" spans="1:27">
      <c r="A49" s="7" t="s">
        <v>35</v>
      </c>
      <c r="B49" s="425">
        <v>21736</v>
      </c>
      <c r="C49" s="280">
        <v>503</v>
      </c>
      <c r="D49" s="425">
        <v>11</v>
      </c>
      <c r="E49" s="425">
        <v>4308</v>
      </c>
      <c r="F49" s="280">
        <v>10187</v>
      </c>
      <c r="G49" s="425">
        <v>2670</v>
      </c>
      <c r="H49" s="425">
        <v>2296</v>
      </c>
      <c r="I49" s="425">
        <v>858</v>
      </c>
      <c r="J49" s="425">
        <v>72</v>
      </c>
      <c r="K49" s="280">
        <v>0</v>
      </c>
      <c r="L49" s="280">
        <v>0</v>
      </c>
      <c r="M49" s="280">
        <v>831</v>
      </c>
      <c r="N49" s="233"/>
      <c r="O49" s="7" t="s">
        <v>35</v>
      </c>
      <c r="P49" s="425">
        <f>(B49*1000)/SUM('Population Figures'!$B9:$D9)</f>
        <v>455.8724832214765</v>
      </c>
      <c r="Q49" s="280">
        <f>(C49/SUM('Population Figures'!B9:D9))*1000</f>
        <v>10.549496644295301</v>
      </c>
      <c r="R49" s="425">
        <f>(D49/'Population Figures'!B9)*1000</f>
        <v>1.0119595216191353</v>
      </c>
      <c r="S49" s="425">
        <f>(E49/'Population Figures'!B9)*1000</f>
        <v>396.32014719411222</v>
      </c>
      <c r="T49" s="280">
        <f>(F49/'Population Figures'!D9)*1000</f>
        <v>1416.4349276974415</v>
      </c>
      <c r="U49" s="425">
        <f>(G49/'Population Figures'!C9)*1000</f>
        <v>90.147883044094812</v>
      </c>
      <c r="V49" s="425">
        <f>(H49/'Population Figures'!C9)*1000</f>
        <v>77.520426767506237</v>
      </c>
      <c r="W49" s="425">
        <f>(I49/'Population Figures'!C9)*1000</f>
        <v>28.968870281585524</v>
      </c>
      <c r="X49" s="500">
        <f>(J49/'Population Figures'!C9)*1000</f>
        <v>2.4309541495036804</v>
      </c>
      <c r="Y49" s="186">
        <f>(K49/'Population Figures'!C9)*1000</f>
        <v>0</v>
      </c>
      <c r="Z49" s="186">
        <f>(L49/'Population Figures'!C9)*1000</f>
        <v>0</v>
      </c>
      <c r="AA49" s="501">
        <f>(M49/'Population Figures'!C9)*1000</f>
        <v>28.057262475521643</v>
      </c>
    </row>
    <row r="50" spans="1:27">
      <c r="A50" s="7" t="s">
        <v>36</v>
      </c>
      <c r="B50" s="425">
        <v>66316</v>
      </c>
      <c r="C50" s="280">
        <v>596</v>
      </c>
      <c r="D50" s="425">
        <v>119</v>
      </c>
      <c r="E50" s="425">
        <v>13117</v>
      </c>
      <c r="F50" s="280">
        <v>35503</v>
      </c>
      <c r="G50" s="425">
        <v>4766</v>
      </c>
      <c r="H50" s="425">
        <v>7880</v>
      </c>
      <c r="I50" s="425">
        <v>2389</v>
      </c>
      <c r="J50" s="425">
        <v>406</v>
      </c>
      <c r="K50" s="280">
        <v>1</v>
      </c>
      <c r="L50" s="280">
        <v>2</v>
      </c>
      <c r="M50" s="280">
        <v>1537</v>
      </c>
      <c r="N50" s="233"/>
      <c r="O50" s="7" t="s">
        <v>36</v>
      </c>
      <c r="P50" s="425">
        <f>(B50*1000)/SUM('Population Figures'!$B10:$D10)</f>
        <v>450.48570069968071</v>
      </c>
      <c r="Q50" s="280">
        <f>(C50/SUM('Population Figures'!B10:D10))*1000</f>
        <v>4.0486380001358606</v>
      </c>
      <c r="R50" s="425">
        <f>(D50/'Population Figures'!B10)*1000</f>
        <v>3.9108715656632054</v>
      </c>
      <c r="S50" s="425">
        <f>(E50/'Population Figures'!B10)*1000</f>
        <v>431.08321283028789</v>
      </c>
      <c r="T50" s="280">
        <f>(F50/'Population Figures'!D10)*1000</f>
        <v>1208.6127659574468</v>
      </c>
      <c r="U50" s="425">
        <f>(G50/'Population Figures'!C10)*1000</f>
        <v>54.52652533549945</v>
      </c>
      <c r="V50" s="425">
        <f>(H50/'Population Figures'!C10)*1000</f>
        <v>90.152962577367944</v>
      </c>
      <c r="W50" s="425">
        <f>(I50/'Population Figures'!C10)*1000</f>
        <v>27.331907055498988</v>
      </c>
      <c r="X50" s="500">
        <f>(J50/'Population Figures'!C10)*1000</f>
        <v>4.6449369043669275</v>
      </c>
      <c r="Y50" s="186">
        <f>(K50/'Population Figures'!C10)*1000</f>
        <v>1.1440731291544154E-2</v>
      </c>
      <c r="Z50" s="186">
        <f>(L50/'Population Figures'!C10)*1000</f>
        <v>2.2881462583088309E-2</v>
      </c>
      <c r="AA50" s="501">
        <f>(M50/'Population Figures'!C10)*1000</f>
        <v>17.584403995103365</v>
      </c>
    </row>
    <row r="51" spans="1:27">
      <c r="A51" s="7" t="s">
        <v>37</v>
      </c>
      <c r="B51" s="425">
        <v>74664</v>
      </c>
      <c r="C51" s="280">
        <v>633</v>
      </c>
      <c r="D51" s="425">
        <v>150</v>
      </c>
      <c r="E51" s="425">
        <v>20435</v>
      </c>
      <c r="F51" s="280">
        <v>33610</v>
      </c>
      <c r="G51" s="425">
        <v>5455</v>
      </c>
      <c r="H51" s="425">
        <v>8510</v>
      </c>
      <c r="I51" s="425">
        <v>1561</v>
      </c>
      <c r="J51" s="425">
        <v>369</v>
      </c>
      <c r="K51" s="280">
        <v>229</v>
      </c>
      <c r="L51" s="280">
        <v>0</v>
      </c>
      <c r="M51" s="280">
        <v>3712</v>
      </c>
      <c r="N51" s="233"/>
      <c r="O51" s="7" t="s">
        <v>37</v>
      </c>
      <c r="P51" s="425">
        <f>(B51*1000)/SUM('Population Figures'!$B11:$D11)</f>
        <v>521.21465968586392</v>
      </c>
      <c r="Q51" s="280">
        <f>(C51/SUM('Population Figures'!B11:D11))*1000</f>
        <v>4.4188481675392666</v>
      </c>
      <c r="R51" s="425">
        <f>(D51/'Population Figures'!B11)*1000</f>
        <v>5.2585451358457496</v>
      </c>
      <c r="S51" s="425">
        <f>(E51/'Population Figures'!B11)*1000</f>
        <v>716.38913234005258</v>
      </c>
      <c r="T51" s="280">
        <f>(F51/'Population Figures'!D11)*1000</f>
        <v>1302.9151806481625</v>
      </c>
      <c r="U51" s="425">
        <f>(G51/'Population Figures'!C11)*1000</f>
        <v>61.341069842233694</v>
      </c>
      <c r="V51" s="425">
        <f>(H51/'Population Figures'!C11)*1000</f>
        <v>95.694317939030014</v>
      </c>
      <c r="W51" s="425">
        <f>(I51/'Population Figures'!C11)*1000</f>
        <v>17.553329060261557</v>
      </c>
      <c r="X51" s="500">
        <f>(J51/'Population Figures'!C11)*1000</f>
        <v>4.1493775933609962</v>
      </c>
      <c r="Y51" s="186">
        <f>(K51/'Population Figures'!C11)*1000</f>
        <v>2.5750879915438158</v>
      </c>
      <c r="Z51" s="186">
        <f>(L51/'Population Figures'!C11)*1000</f>
        <v>0</v>
      </c>
      <c r="AA51" s="501">
        <f>(M51/'Population Figures'!C11)*1000</f>
        <v>41.7411642996098</v>
      </c>
    </row>
    <row r="52" spans="1:27">
      <c r="A52" s="7" t="s">
        <v>38</v>
      </c>
      <c r="B52" s="425">
        <v>53244</v>
      </c>
      <c r="C52" s="280">
        <v>453</v>
      </c>
      <c r="D52" s="425">
        <v>66</v>
      </c>
      <c r="E52" s="425">
        <v>9183</v>
      </c>
      <c r="F52" s="280">
        <v>26762</v>
      </c>
      <c r="G52" s="425">
        <v>2625</v>
      </c>
      <c r="H52" s="425">
        <v>8489</v>
      </c>
      <c r="I52" s="425">
        <v>2310</v>
      </c>
      <c r="J52" s="425">
        <v>1190</v>
      </c>
      <c r="K52" s="280">
        <v>0</v>
      </c>
      <c r="L52" s="280">
        <v>0</v>
      </c>
      <c r="M52" s="280">
        <v>2166</v>
      </c>
      <c r="N52" s="233"/>
      <c r="O52" s="7" t="s">
        <v>38</v>
      </c>
      <c r="P52" s="425">
        <f>(B52*1000)/SUM('Population Figures'!$B12:$D12)</f>
        <v>445.44465824479209</v>
      </c>
      <c r="Q52" s="280">
        <f>(C52/SUM('Population Figures'!B12:D12))*1000</f>
        <v>3.7898435539195181</v>
      </c>
      <c r="R52" s="425">
        <f>(D52/'Population Figures'!B12)*1000</f>
        <v>2.5062656641604009</v>
      </c>
      <c r="S52" s="425">
        <f>(E52/'Population Figures'!B12)*1000</f>
        <v>348.71269081795396</v>
      </c>
      <c r="T52" s="280">
        <f>(F52/'Population Figures'!D12)*1000</f>
        <v>1367.1519795657728</v>
      </c>
      <c r="U52" s="425">
        <f>(G52/'Population Figures'!C12)*1000</f>
        <v>35.655587400334142</v>
      </c>
      <c r="V52" s="425">
        <f>(H52/'Population Figures'!C12)*1000</f>
        <v>115.30677388245202</v>
      </c>
      <c r="W52" s="425">
        <f>(I52/'Population Figures'!C12)*1000</f>
        <v>31.376916912294043</v>
      </c>
      <c r="X52" s="500">
        <f>(J52/'Population Figures'!C12)*1000</f>
        <v>16.163866288151478</v>
      </c>
      <c r="Y52" s="186">
        <f>(K52/'Population Figures'!C12)*1000</f>
        <v>0</v>
      </c>
      <c r="Z52" s="186">
        <f>(L52/'Population Figures'!C12)*1000</f>
        <v>0</v>
      </c>
      <c r="AA52" s="501">
        <f>(M52/'Population Figures'!C12)*1000</f>
        <v>29.420953260618575</v>
      </c>
    </row>
    <row r="53" spans="1:27">
      <c r="A53" s="7" t="s">
        <v>39</v>
      </c>
      <c r="B53" s="425">
        <v>35010</v>
      </c>
      <c r="C53" s="280">
        <v>1104</v>
      </c>
      <c r="D53" s="425">
        <v>9</v>
      </c>
      <c r="E53" s="425">
        <v>5437</v>
      </c>
      <c r="F53" s="280">
        <v>15811</v>
      </c>
      <c r="G53" s="425">
        <v>2456</v>
      </c>
      <c r="H53" s="425">
        <v>7220</v>
      </c>
      <c r="I53" s="425">
        <v>2020</v>
      </c>
      <c r="J53" s="425">
        <v>352</v>
      </c>
      <c r="K53" s="280">
        <v>0</v>
      </c>
      <c r="L53" s="280">
        <v>0</v>
      </c>
      <c r="M53" s="280">
        <v>601</v>
      </c>
      <c r="N53" s="233"/>
      <c r="O53" s="7" t="s">
        <v>39</v>
      </c>
      <c r="P53" s="425">
        <f>(B53*1000)/SUM('Population Figures'!$B13:$D13)</f>
        <v>327.28802467981677</v>
      </c>
      <c r="Q53" s="280">
        <f>(C53/SUM('Population Figures'!B13:D13))*1000</f>
        <v>10.320650649714873</v>
      </c>
      <c r="R53" s="425">
        <f>(D53/'Population Figures'!B13)*1000</f>
        <v>0.37457859907603946</v>
      </c>
      <c r="S53" s="425">
        <f>(E53/'Population Figures'!B13)*1000</f>
        <v>226.28709368626963</v>
      </c>
      <c r="T53" s="280">
        <f>(F53/'Population Figures'!D13)*1000</f>
        <v>890.71038251366122</v>
      </c>
      <c r="U53" s="425">
        <f>(G53/'Population Figures'!C13)*1000</f>
        <v>37.673334151429621</v>
      </c>
      <c r="V53" s="425">
        <f>(H53/'Population Figures'!C13)*1000</f>
        <v>110.7497852497239</v>
      </c>
      <c r="W53" s="425">
        <f>(I53/'Population Figures'!C13)*1000</f>
        <v>30.985396981224689</v>
      </c>
      <c r="X53" s="500">
        <f>(J53/'Population Figures'!C13)*1000</f>
        <v>5.3994355135599452</v>
      </c>
      <c r="Y53" s="186">
        <f>(K53/'Population Figures'!C13)*1000</f>
        <v>0</v>
      </c>
      <c r="Z53" s="186">
        <f>(L53/'Population Figures'!C13)*1000</f>
        <v>0</v>
      </c>
      <c r="AA53" s="501">
        <f>(M53/'Population Figures'!C13)*1000</f>
        <v>9.2189225671861585</v>
      </c>
    </row>
    <row r="54" spans="1:27">
      <c r="A54" s="7" t="s">
        <v>40</v>
      </c>
      <c r="B54" s="425">
        <v>36379</v>
      </c>
      <c r="C54" s="280">
        <v>321</v>
      </c>
      <c r="D54" s="425">
        <v>50</v>
      </c>
      <c r="E54" s="425">
        <v>7422</v>
      </c>
      <c r="F54" s="280">
        <v>19354</v>
      </c>
      <c r="G54" s="425">
        <v>1818</v>
      </c>
      <c r="H54" s="425">
        <v>5247</v>
      </c>
      <c r="I54" s="425">
        <v>1081</v>
      </c>
      <c r="J54" s="425">
        <v>291</v>
      </c>
      <c r="K54" s="280">
        <v>0</v>
      </c>
      <c r="L54" s="280">
        <v>0</v>
      </c>
      <c r="M54" s="280">
        <v>795</v>
      </c>
      <c r="N54" s="233"/>
      <c r="O54" s="7" t="s">
        <v>40</v>
      </c>
      <c r="P54" s="425">
        <f>(B54*1000)/SUM('Population Figures'!$B14:$D14)</f>
        <v>399.37424525194865</v>
      </c>
      <c r="Q54" s="280">
        <f>(C54/SUM('Population Figures'!B14:D14))*1000</f>
        <v>3.5239872653419693</v>
      </c>
      <c r="R54" s="425">
        <f>(D54/'Population Figures'!B14)*1000</f>
        <v>2.4026910139356081</v>
      </c>
      <c r="S54" s="425">
        <f>(E54/'Population Figures'!B14)*1000</f>
        <v>356.65545410860159</v>
      </c>
      <c r="T54" s="280">
        <f>(F54/'Population Figures'!D14)*1000</f>
        <v>1211.3663391124742</v>
      </c>
      <c r="U54" s="425">
        <f>(G54/'Population Figures'!C14)*1000</f>
        <v>33.478813325230654</v>
      </c>
      <c r="V54" s="425">
        <f>(H54/'Population Figures'!C14)*1000</f>
        <v>96.624495884205302</v>
      </c>
      <c r="W54" s="425">
        <f>(I54/'Population Figures'!C14)*1000</f>
        <v>19.906819144430326</v>
      </c>
      <c r="X54" s="500">
        <f>(J54/'Population Figures'!C14)*1000</f>
        <v>5.3588199546986353</v>
      </c>
      <c r="Y54" s="186">
        <f>(K54/'Population Figures'!C14)*1000</f>
        <v>0</v>
      </c>
      <c r="Z54" s="186">
        <f>(L54/'Population Figures'!C14)*1000</f>
        <v>0</v>
      </c>
      <c r="AA54" s="501">
        <f>(M54/'Population Figures'!C14)*1000</f>
        <v>14.640075133970498</v>
      </c>
    </row>
    <row r="55" spans="1:27">
      <c r="A55" s="7" t="s">
        <v>41</v>
      </c>
      <c r="B55" s="425">
        <v>30528</v>
      </c>
      <c r="C55" s="280">
        <v>856</v>
      </c>
      <c r="D55" s="425">
        <v>0</v>
      </c>
      <c r="E55" s="425">
        <v>3547</v>
      </c>
      <c r="F55" s="280">
        <v>15076</v>
      </c>
      <c r="G55" s="425">
        <v>4855</v>
      </c>
      <c r="H55" s="425">
        <v>3788</v>
      </c>
      <c r="I55" s="425">
        <v>666</v>
      </c>
      <c r="J55" s="425">
        <v>983</v>
      </c>
      <c r="K55" s="280">
        <v>0</v>
      </c>
      <c r="L55" s="280">
        <v>0</v>
      </c>
      <c r="M55" s="280">
        <v>757</v>
      </c>
      <c r="N55" s="233"/>
      <c r="O55" s="7" t="s">
        <v>41</v>
      </c>
      <c r="P55" s="425">
        <f>(B55*1000)/SUM('Population Figures'!$B15:$D15)</f>
        <v>340.41034790365745</v>
      </c>
      <c r="Q55" s="280">
        <f>(C55/SUM('Population Figures'!B15:D15))*1000</f>
        <v>9.5450490633363074</v>
      </c>
      <c r="R55" s="425">
        <f>(D55/'Population Figures'!B15)*1000</f>
        <v>0</v>
      </c>
      <c r="S55" s="425">
        <f>(E55/'Population Figures'!B15)*1000</f>
        <v>166.37740982222431</v>
      </c>
      <c r="T55" s="280">
        <f>(F55/'Population Figures'!D15)*1000</f>
        <v>1027.8857298697756</v>
      </c>
      <c r="U55" s="425">
        <f>(G55/'Population Figures'!C15)*1000</f>
        <v>90.419786195850563</v>
      </c>
      <c r="V55" s="425">
        <f>(H55/'Population Figures'!C15)*1000</f>
        <v>70.547919693075571</v>
      </c>
      <c r="W55" s="425">
        <f>(I55/'Population Figures'!C15)*1000</f>
        <v>12.403620516258799</v>
      </c>
      <c r="X55" s="500">
        <f>(J55/'Population Figures'!C15)*1000</f>
        <v>18.307445897120719</v>
      </c>
      <c r="Y55" s="186">
        <f>(K55/'Population Figures'!C15)*1000</f>
        <v>0</v>
      </c>
      <c r="Z55" s="186">
        <f>(L55/'Population Figures'!C15)*1000</f>
        <v>0</v>
      </c>
      <c r="AA55" s="501">
        <f>(M55/'Population Figures'!C15)*1000</f>
        <v>14.098409505717585</v>
      </c>
    </row>
    <row r="56" spans="1:27">
      <c r="A56" s="7" t="s">
        <v>140</v>
      </c>
      <c r="B56" s="425">
        <v>224528.84599999999</v>
      </c>
      <c r="C56" s="280">
        <v>1258</v>
      </c>
      <c r="D56" s="425">
        <v>135</v>
      </c>
      <c r="E56" s="425">
        <v>52733</v>
      </c>
      <c r="F56" s="280">
        <v>94359</v>
      </c>
      <c r="G56" s="425">
        <v>19444</v>
      </c>
      <c r="H56" s="425">
        <v>31619</v>
      </c>
      <c r="I56" s="425">
        <v>9429</v>
      </c>
      <c r="J56" s="425">
        <v>3233</v>
      </c>
      <c r="K56" s="280">
        <v>1621</v>
      </c>
      <c r="L56" s="280">
        <v>1347.846</v>
      </c>
      <c r="M56" s="280">
        <v>9350</v>
      </c>
      <c r="N56" s="233"/>
      <c r="O56" s="7" t="s">
        <v>140</v>
      </c>
      <c r="P56" s="425">
        <f>(B56*1000)/SUM('Population Figures'!$B16:$D16)</f>
        <v>500.76688003211632</v>
      </c>
      <c r="Q56" s="280">
        <f>(C56/SUM('Population Figures'!B16:D16))*1000</f>
        <v>2.8057184914244933</v>
      </c>
      <c r="R56" s="425">
        <f>(D56/'Population Figures'!B16)*1000</f>
        <v>1.6711436812200586</v>
      </c>
      <c r="S56" s="425">
        <f>(E56/'Population Figures'!B16)*1000</f>
        <v>652.77347956872109</v>
      </c>
      <c r="T56" s="280">
        <f>(F56/'Population Figures'!D16)*1000</f>
        <v>1367.4424671033562</v>
      </c>
      <c r="U56" s="425">
        <f>(G56/'Population Figures'!C16)*1000</f>
        <v>65.12092115090276</v>
      </c>
      <c r="V56" s="425">
        <f>(H56/'Population Figures'!C16)*1000</f>
        <v>105.89685280139859</v>
      </c>
      <c r="W56" s="425">
        <f>(I56/'Population Figures'!C16)*1000</f>
        <v>31.579158893841914</v>
      </c>
      <c r="X56" s="500">
        <f>(J56/'Population Figures'!C16)*1000</f>
        <v>10.827810022673763</v>
      </c>
      <c r="Y56" s="186">
        <f>(K56/'Population Figures'!C16)*1000</f>
        <v>5.4289761975732036</v>
      </c>
      <c r="Z56" s="186">
        <f>(L56/'Population Figures'!C16)*1000</f>
        <v>4.514141796418417</v>
      </c>
      <c r="AA56" s="501">
        <f>(M56/'Population Figures'!C16)*1000</f>
        <v>31.314575846582024</v>
      </c>
    </row>
    <row r="57" spans="1:27">
      <c r="A57" s="7" t="s">
        <v>42</v>
      </c>
      <c r="B57" s="425">
        <v>16692</v>
      </c>
      <c r="C57" s="280">
        <v>261</v>
      </c>
      <c r="D57" s="425">
        <v>45</v>
      </c>
      <c r="E57" s="425">
        <v>1629</v>
      </c>
      <c r="F57" s="280">
        <v>11266</v>
      </c>
      <c r="G57" s="425">
        <v>505</v>
      </c>
      <c r="H57" s="425">
        <v>1927</v>
      </c>
      <c r="I57" s="425">
        <v>728</v>
      </c>
      <c r="J57" s="425">
        <v>108</v>
      </c>
      <c r="K57" s="280">
        <v>0</v>
      </c>
      <c r="L57" s="280">
        <v>0</v>
      </c>
      <c r="M57" s="280">
        <v>223</v>
      </c>
      <c r="N57" s="233"/>
      <c r="O57" s="7" t="s">
        <v>42</v>
      </c>
      <c r="P57" s="425">
        <f>(B57*1000)/SUM('Population Figures'!$B17:$D17)</f>
        <v>639.54022988505744</v>
      </c>
      <c r="Q57" s="280">
        <f>(C57/SUM('Population Figures'!B17:D17))*1000</f>
        <v>10</v>
      </c>
      <c r="R57" s="425">
        <f>(D57/'Population Figures'!B17)*1000</f>
        <v>8.1566068515497552</v>
      </c>
      <c r="S57" s="425">
        <f>(E57/'Population Figures'!B17)*1000</f>
        <v>295.26916802610117</v>
      </c>
      <c r="T57" s="280">
        <f>(F57/'Population Figures'!D17)*1000</f>
        <v>2140.1975683890578</v>
      </c>
      <c r="U57" s="425">
        <f>(G57/'Population Figures'!C17)*1000</f>
        <v>32.965598276649914</v>
      </c>
      <c r="V57" s="425">
        <f>(H57/'Population Figures'!C17)*1000</f>
        <v>125.79150075070176</v>
      </c>
      <c r="W57" s="425">
        <f>(I57/'Population Figures'!C17)*1000</f>
        <v>47.522684248319081</v>
      </c>
      <c r="X57" s="500">
        <f>(J57/'Population Figures'!C17)*1000</f>
        <v>7.0500685423330509</v>
      </c>
      <c r="Y57" s="186">
        <f>(K57/'Population Figures'!C17)*1000</f>
        <v>0</v>
      </c>
      <c r="Z57" s="186">
        <f>(L57/'Population Figures'!C17)*1000</f>
        <v>0</v>
      </c>
      <c r="AA57" s="501">
        <f>(M57/'Population Figures'!C17)*1000</f>
        <v>14.557085971669169</v>
      </c>
    </row>
    <row r="58" spans="1:27">
      <c r="A58" s="7" t="s">
        <v>43</v>
      </c>
      <c r="B58" s="425">
        <v>64594</v>
      </c>
      <c r="C58" s="280">
        <v>191</v>
      </c>
      <c r="D58" s="425">
        <v>53</v>
      </c>
      <c r="E58" s="425">
        <v>15018</v>
      </c>
      <c r="F58" s="280">
        <v>32394</v>
      </c>
      <c r="G58" s="425">
        <v>2864</v>
      </c>
      <c r="H58" s="425">
        <v>9500</v>
      </c>
      <c r="I58" s="425">
        <v>2684</v>
      </c>
      <c r="J58" s="425">
        <v>280</v>
      </c>
      <c r="K58" s="280">
        <v>1</v>
      </c>
      <c r="L58" s="280">
        <v>0</v>
      </c>
      <c r="M58" s="280">
        <v>1609</v>
      </c>
      <c r="N58" s="233"/>
      <c r="O58" s="7" t="s">
        <v>43</v>
      </c>
      <c r="P58" s="425">
        <f>(B58*1000)/SUM('Population Figures'!$B18:$D18)</f>
        <v>442.66721491228071</v>
      </c>
      <c r="Q58" s="280">
        <f>(C58/SUM('Population Figures'!B18:D18))*1000</f>
        <v>1.3089364035087718</v>
      </c>
      <c r="R58" s="425">
        <f>(D58/'Population Figures'!B18)*1000</f>
        <v>1.6775868072041276</v>
      </c>
      <c r="S58" s="425">
        <f>(E58/'Population Figures'!B18)*1000</f>
        <v>475.35846548286014</v>
      </c>
      <c r="T58" s="280">
        <f>(F58/'Population Figures'!D18)*1000</f>
        <v>1420.1665935992987</v>
      </c>
      <c r="U58" s="425">
        <f>(G58/'Population Figures'!C18)*1000</f>
        <v>31.294732126271622</v>
      </c>
      <c r="V58" s="425">
        <f>(H58/'Population Figures'!C18)*1000</f>
        <v>103.8058502791831</v>
      </c>
      <c r="W58" s="425">
        <f>(I58/'Population Figures'!C18)*1000</f>
        <v>29.32788443677131</v>
      </c>
      <c r="X58" s="500">
        <f>(J58/'Population Figures'!C18)*1000</f>
        <v>3.0595408503338177</v>
      </c>
      <c r="Y58" s="186">
        <f>(K58/'Population Figures'!C18)*1000</f>
        <v>1.0926931608335064E-2</v>
      </c>
      <c r="Z58" s="186">
        <f>(L58/'Population Figures'!C18)*1000</f>
        <v>0</v>
      </c>
      <c r="AA58" s="501">
        <f>(M58/'Population Figures'!C18)*1000</f>
        <v>17.581432957811117</v>
      </c>
    </row>
    <row r="59" spans="1:27">
      <c r="A59" s="7" t="s">
        <v>44</v>
      </c>
      <c r="B59" s="425">
        <v>150999</v>
      </c>
      <c r="C59" s="280">
        <v>732</v>
      </c>
      <c r="D59" s="425">
        <v>94</v>
      </c>
      <c r="E59" s="425">
        <v>24257</v>
      </c>
      <c r="F59" s="280">
        <v>77891</v>
      </c>
      <c r="G59" s="425">
        <v>11918</v>
      </c>
      <c r="H59" s="425">
        <v>24888</v>
      </c>
      <c r="I59" s="425">
        <v>5186</v>
      </c>
      <c r="J59" s="425">
        <v>572</v>
      </c>
      <c r="K59" s="280">
        <v>82</v>
      </c>
      <c r="L59" s="280">
        <v>3</v>
      </c>
      <c r="M59" s="280">
        <v>5376</v>
      </c>
      <c r="N59" s="233"/>
      <c r="O59" s="7" t="s">
        <v>44</v>
      </c>
      <c r="P59" s="425">
        <f>(B59*1000)/SUM('Population Figures'!$B19:$D19)</f>
        <v>428.9256902624702</v>
      </c>
      <c r="Q59" s="280">
        <f>(C59/SUM('Population Figures'!B19:D19))*1000</f>
        <v>2.0793091694125665</v>
      </c>
      <c r="R59" s="425">
        <f>(D59/'Population Figures'!B19)*1000</f>
        <v>1.2329485834207765</v>
      </c>
      <c r="S59" s="425">
        <f>(E59/'Population Figures'!B19)*1000</f>
        <v>318.16631689401885</v>
      </c>
      <c r="T59" s="280">
        <f>(F59/'Population Figures'!D19)*1000</f>
        <v>1341.7222193512825</v>
      </c>
      <c r="U59" s="425">
        <f>(G59/'Population Figures'!C19)*1000</f>
        <v>54.733245463772171</v>
      </c>
      <c r="V59" s="425">
        <f>(H59/'Population Figures'!C19)*1000</f>
        <v>114.29778596260797</v>
      </c>
      <c r="W59" s="425">
        <f>(I59/'Population Figures'!C19)*1000</f>
        <v>23.816631227984772</v>
      </c>
      <c r="X59" s="500">
        <f>(J59/'Population Figures'!C19)*1000</f>
        <v>2.6269018631714789</v>
      </c>
      <c r="Y59" s="186">
        <f>(K59/'Population Figures'!C19)*1000</f>
        <v>0.37658383353157565</v>
      </c>
      <c r="Z59" s="186">
        <f>(L59/'Population Figures'!C19)*1000</f>
        <v>1.3777457324325938E-2</v>
      </c>
      <c r="AA59" s="501">
        <f>(M59/'Population Figures'!C19)*1000</f>
        <v>24.689203525192081</v>
      </c>
    </row>
    <row r="60" spans="1:27">
      <c r="A60" s="7" t="s">
        <v>45</v>
      </c>
      <c r="B60" s="425">
        <v>353304</v>
      </c>
      <c r="C60" s="280">
        <v>1619</v>
      </c>
      <c r="D60" s="425">
        <v>299</v>
      </c>
      <c r="E60" s="425">
        <v>92810</v>
      </c>
      <c r="F60" s="280">
        <v>115206</v>
      </c>
      <c r="G60" s="425">
        <v>26224</v>
      </c>
      <c r="H60" s="425">
        <v>57115</v>
      </c>
      <c r="I60" s="425">
        <v>35932</v>
      </c>
      <c r="J60" s="425">
        <v>10493</v>
      </c>
      <c r="K60" s="280">
        <v>68</v>
      </c>
      <c r="L60" s="280">
        <v>2175</v>
      </c>
      <c r="M60" s="280">
        <v>11363</v>
      </c>
      <c r="N60" s="233"/>
      <c r="O60" s="7" t="s">
        <v>45</v>
      </c>
      <c r="P60" s="425">
        <f>(B60*1000)/SUM('Population Figures'!$B20:$D20)</f>
        <v>612.21646536935316</v>
      </c>
      <c r="Q60" s="280">
        <f>(C60/SUM('Population Figures'!B20:D20))*1000</f>
        <v>2.8054549550330101</v>
      </c>
      <c r="R60" s="425">
        <f>(D60/'Population Figures'!B20)*1000</f>
        <v>2.57352624738559</v>
      </c>
      <c r="S60" s="425">
        <f>(E60/'Population Figures'!B20)*1000</f>
        <v>798.82599003296525</v>
      </c>
      <c r="T60" s="280">
        <f>(F60/'Population Figures'!D20)*1000</f>
        <v>1305.2729373909497</v>
      </c>
      <c r="U60" s="425">
        <f>(G60/'Population Figures'!C20)*1000</f>
        <v>70.372606636342894</v>
      </c>
      <c r="V60" s="425">
        <f>(H60/'Population Figures'!C20)*1000</f>
        <v>153.26919722524119</v>
      </c>
      <c r="W60" s="425">
        <f>(I60/'Population Figures'!C20)*1000</f>
        <v>96.424210709924992</v>
      </c>
      <c r="X60" s="500">
        <f>(J60/'Population Figures'!C20)*1000</f>
        <v>28.158166619705082</v>
      </c>
      <c r="Y60" s="186">
        <f>(K60/'Population Figures'!C20)*1000</f>
        <v>0.18247930335842424</v>
      </c>
      <c r="Z60" s="186">
        <f>(L60/'Population Figures'!C20)*1000</f>
        <v>5.83665418830254</v>
      </c>
      <c r="AA60" s="501">
        <f>(M60/'Population Figures'!C20)*1000</f>
        <v>30.492828295026097</v>
      </c>
    </row>
    <row r="61" spans="1:27">
      <c r="A61" s="7" t="s">
        <v>46</v>
      </c>
      <c r="B61" s="425">
        <v>95383</v>
      </c>
      <c r="C61" s="280">
        <v>313</v>
      </c>
      <c r="D61" s="425">
        <v>105</v>
      </c>
      <c r="E61" s="425">
        <v>18301</v>
      </c>
      <c r="F61" s="280">
        <v>50334</v>
      </c>
      <c r="G61" s="425">
        <v>4257</v>
      </c>
      <c r="H61" s="425">
        <v>13527</v>
      </c>
      <c r="I61" s="425">
        <v>5841</v>
      </c>
      <c r="J61" s="425">
        <v>777</v>
      </c>
      <c r="K61" s="280">
        <v>0</v>
      </c>
      <c r="L61" s="280">
        <v>0</v>
      </c>
      <c r="M61" s="280">
        <v>1928</v>
      </c>
      <c r="N61" s="233"/>
      <c r="O61" s="7" t="s">
        <v>46</v>
      </c>
      <c r="P61" s="425">
        <f>(B61*1000)/SUM('Population Figures'!$B21:$D21)</f>
        <v>456.2033671321982</v>
      </c>
      <c r="Q61" s="280">
        <f>(C61/SUM('Population Figures'!B21:D21))*1000</f>
        <v>1.4970346278936293</v>
      </c>
      <c r="R61" s="425">
        <f>(D61/'Population Figures'!B21)*1000</f>
        <v>2.3285210564832677</v>
      </c>
      <c r="S61" s="425">
        <f>(E61/'Population Figures'!B21)*1000</f>
        <v>405.85013194952654</v>
      </c>
      <c r="T61" s="280">
        <f>(F61/'Population Figures'!D21)*1000</f>
        <v>1399.0993995997333</v>
      </c>
      <c r="U61" s="425">
        <f>(G61/'Population Figures'!C21)*1000</f>
        <v>33.254954652334561</v>
      </c>
      <c r="V61" s="425">
        <f>(H61/'Population Figures'!C21)*1000</f>
        <v>105.67060643225973</v>
      </c>
      <c r="W61" s="425">
        <f>(I61/'Population Figures'!C21)*1000</f>
        <v>45.628891267156732</v>
      </c>
      <c r="X61" s="500">
        <f>(J61/'Population Figures'!C21)*1000</f>
        <v>6.0697908773464775</v>
      </c>
      <c r="Y61" s="186">
        <f>(K61/'Population Figures'!C21)*1000</f>
        <v>0</v>
      </c>
      <c r="Z61" s="186">
        <f>(L61/'Population Figures'!C21)*1000</f>
        <v>0</v>
      </c>
      <c r="AA61" s="501">
        <f>(M61/'Population Figures'!C21)*1000</f>
        <v>15.061205677637078</v>
      </c>
    </row>
    <row r="62" spans="1:27">
      <c r="A62" s="7" t="s">
        <v>47</v>
      </c>
      <c r="B62" s="425">
        <v>46402</v>
      </c>
      <c r="C62" s="280">
        <v>699</v>
      </c>
      <c r="D62" s="425">
        <v>27</v>
      </c>
      <c r="E62" s="425">
        <v>9069</v>
      </c>
      <c r="F62" s="280">
        <v>23369</v>
      </c>
      <c r="G62" s="425">
        <v>3624</v>
      </c>
      <c r="H62" s="425">
        <v>5565</v>
      </c>
      <c r="I62" s="425">
        <v>1956</v>
      </c>
      <c r="J62" s="425">
        <v>803</v>
      </c>
      <c r="K62" s="280">
        <v>0</v>
      </c>
      <c r="L62" s="280">
        <v>0</v>
      </c>
      <c r="M62" s="280">
        <v>1290</v>
      </c>
      <c r="N62" s="233"/>
      <c r="O62" s="7" t="s">
        <v>47</v>
      </c>
      <c r="P62" s="425">
        <f>(B62*1000)/SUM('Population Figures'!$B22:$D22)</f>
        <v>558.72366044551472</v>
      </c>
      <c r="Q62" s="280">
        <f>(C62/SUM('Population Figures'!B22:D22))*1000</f>
        <v>8.4166164960866947</v>
      </c>
      <c r="R62" s="425">
        <f>(D62/'Population Figures'!B22)*1000</f>
        <v>1.5126897865426634</v>
      </c>
      <c r="S62" s="425">
        <f>(E62/'Population Figures'!B22)*1000</f>
        <v>508.09569163538572</v>
      </c>
      <c r="T62" s="280">
        <f>(F62/'Population Figures'!D22)*1000</f>
        <v>1664.3401467131971</v>
      </c>
      <c r="U62" s="425">
        <f>(G62/'Population Figures'!C22)*1000</f>
        <v>70.836591086786555</v>
      </c>
      <c r="V62" s="425">
        <f>(H62/'Population Figures'!C22)*1000</f>
        <v>108.77638780297107</v>
      </c>
      <c r="W62" s="425">
        <f>(I62/'Population Figures'!C22)*1000</f>
        <v>38.232994526974203</v>
      </c>
      <c r="X62" s="500">
        <f>(J62/'Population Figures'!C22)*1000</f>
        <v>15.695856137607507</v>
      </c>
      <c r="Y62" s="186">
        <f>(K62/'Population Figures'!C22)*1000</f>
        <v>0</v>
      </c>
      <c r="Z62" s="186">
        <f>(L62/'Population Figures'!C22)*1000</f>
        <v>0</v>
      </c>
      <c r="AA62" s="501">
        <f>(M62/'Population Figures'!C22)*1000</f>
        <v>25.21501172791243</v>
      </c>
    </row>
    <row r="63" spans="1:27">
      <c r="A63" s="7" t="s">
        <v>48</v>
      </c>
      <c r="B63" s="425">
        <v>39380</v>
      </c>
      <c r="C63" s="280">
        <v>1033</v>
      </c>
      <c r="D63" s="425">
        <v>33</v>
      </c>
      <c r="E63" s="425">
        <v>7399</v>
      </c>
      <c r="F63" s="280">
        <v>19088</v>
      </c>
      <c r="G63" s="425">
        <v>2513</v>
      </c>
      <c r="H63" s="425">
        <v>7412</v>
      </c>
      <c r="I63" s="425">
        <v>1070</v>
      </c>
      <c r="J63" s="425">
        <v>215</v>
      </c>
      <c r="K63" s="280">
        <v>7</v>
      </c>
      <c r="L63" s="280">
        <v>3</v>
      </c>
      <c r="M63" s="280">
        <v>607</v>
      </c>
      <c r="N63" s="233"/>
      <c r="O63" s="7" t="s">
        <v>48</v>
      </c>
      <c r="P63" s="425">
        <f>(B63*1000)/SUM('Population Figures'!$B23:$D23)</f>
        <v>494.04089825617865</v>
      </c>
      <c r="Q63" s="280">
        <f>(C63/SUM('Population Figures'!B23:D23))*1000</f>
        <v>12.959478108142015</v>
      </c>
      <c r="R63" s="425">
        <f>(D63/'Population Figures'!B23)*1000</f>
        <v>1.7921146953405018</v>
      </c>
      <c r="S63" s="425">
        <f>(E63/'Population Figures'!B23)*1000</f>
        <v>401.81383729770823</v>
      </c>
      <c r="T63" s="280">
        <f>(F63/'Population Figures'!D23)*1000</f>
        <v>1557.695446384854</v>
      </c>
      <c r="U63" s="425">
        <f>(G63/'Population Figures'!C23)*1000</f>
        <v>51.241792749072225</v>
      </c>
      <c r="V63" s="425">
        <f>(H63/'Population Figures'!C23)*1000</f>
        <v>151.135761184291</v>
      </c>
      <c r="W63" s="425">
        <f>(I63/'Population Figures'!C23)*1000</f>
        <v>21.818033522287021</v>
      </c>
      <c r="X63" s="500">
        <f>(J63/'Population Figures'!C23)*1000</f>
        <v>4.3839973899922517</v>
      </c>
      <c r="Y63" s="186">
        <f>(K63/'Population Figures'!C23)*1000</f>
        <v>0.14273479874393377</v>
      </c>
      <c r="Z63" s="186">
        <f>(L63/'Population Figures'!C23)*1000</f>
        <v>6.117205660454305E-2</v>
      </c>
      <c r="AA63" s="501">
        <f>(M63/'Population Figures'!C23)*1000</f>
        <v>12.377146119652544</v>
      </c>
    </row>
    <row r="64" spans="1:27">
      <c r="A64" s="7" t="s">
        <v>49</v>
      </c>
      <c r="B64" s="425">
        <v>32580</v>
      </c>
      <c r="C64" s="280">
        <v>75</v>
      </c>
      <c r="D64" s="425">
        <v>46</v>
      </c>
      <c r="E64" s="425">
        <v>7862</v>
      </c>
      <c r="F64" s="280">
        <v>15032</v>
      </c>
      <c r="G64" s="425">
        <v>2097</v>
      </c>
      <c r="H64" s="425">
        <v>5221</v>
      </c>
      <c r="I64" s="425">
        <v>1628</v>
      </c>
      <c r="J64" s="425">
        <v>175</v>
      </c>
      <c r="K64" s="280">
        <v>0</v>
      </c>
      <c r="L64" s="280">
        <v>0</v>
      </c>
      <c r="M64" s="280">
        <v>444</v>
      </c>
      <c r="N64" s="233"/>
      <c r="O64" s="7" t="s">
        <v>49</v>
      </c>
      <c r="P64" s="425">
        <f>(B64*1000)/SUM('Population Figures'!$B24:$D24)</f>
        <v>373.96694214876032</v>
      </c>
      <c r="Q64" s="280">
        <f>(C64/SUM('Population Figures'!B24:D24))*1000</f>
        <v>0.8608815426997245</v>
      </c>
      <c r="R64" s="425">
        <f>(D64/'Population Figures'!B24)*1000</f>
        <v>2.3851498496318571</v>
      </c>
      <c r="S64" s="425">
        <f>(E64/'Population Figures'!B24)*1000</f>
        <v>407.65321995229704</v>
      </c>
      <c r="T64" s="280">
        <f>(F64/'Population Figures'!D24)*1000</f>
        <v>1030.2947224126112</v>
      </c>
      <c r="U64" s="425">
        <f>(G64/'Population Figures'!C24)*1000</f>
        <v>39.384719405003381</v>
      </c>
      <c r="V64" s="425">
        <f>(H64/'Population Figures'!C24)*1000</f>
        <v>98.057997145218238</v>
      </c>
      <c r="W64" s="425">
        <f>(I64/'Population Figures'!C24)*1000</f>
        <v>30.576215160393659</v>
      </c>
      <c r="X64" s="500">
        <f>(J64/'Population Figures'!C24)*1000</f>
        <v>3.286755315152881</v>
      </c>
      <c r="Y64" s="186">
        <f>(K64/'Population Figures'!C24)*1000</f>
        <v>0</v>
      </c>
      <c r="Z64" s="186">
        <f>(L64/'Population Figures'!C24)*1000</f>
        <v>0</v>
      </c>
      <c r="AA64" s="501">
        <f>(M64/'Population Figures'!C24)*1000</f>
        <v>8.3389677710164527</v>
      </c>
    </row>
    <row r="65" spans="1:27">
      <c r="A65" s="7" t="s">
        <v>50</v>
      </c>
      <c r="B65" s="425">
        <v>56732</v>
      </c>
      <c r="C65" s="280">
        <v>2213</v>
      </c>
      <c r="D65" s="425">
        <v>196</v>
      </c>
      <c r="E65" s="425">
        <v>11874</v>
      </c>
      <c r="F65" s="280">
        <v>30102</v>
      </c>
      <c r="G65" s="425">
        <v>2009</v>
      </c>
      <c r="H65" s="425">
        <v>5931</v>
      </c>
      <c r="I65" s="425">
        <v>2083</v>
      </c>
      <c r="J65" s="425">
        <v>813</v>
      </c>
      <c r="K65" s="280">
        <v>0</v>
      </c>
      <c r="L65" s="280">
        <v>3</v>
      </c>
      <c r="M65" s="280">
        <v>1508</v>
      </c>
      <c r="N65" s="233"/>
      <c r="O65" s="7" t="s">
        <v>50</v>
      </c>
      <c r="P65" s="425">
        <f>(B65*1000)/SUM('Population Figures'!$B25:$D25)</f>
        <v>417.05506138351836</v>
      </c>
      <c r="Q65" s="280">
        <f>(C65/SUM('Population Figures'!B25:D25))*1000</f>
        <v>16.268470190399174</v>
      </c>
      <c r="R65" s="425">
        <f>(D65/'Population Figures'!B25)*1000</f>
        <v>6.4763415278879197</v>
      </c>
      <c r="S65" s="425">
        <f>(E65/'Population Figures'!B25)*1000</f>
        <v>392.3473433782712</v>
      </c>
      <c r="T65" s="280">
        <f>(F65/'Population Figures'!D25)*1000</f>
        <v>1324.3290805103386</v>
      </c>
      <c r="U65" s="425">
        <f>(G65/'Population Figures'!C25)*1000</f>
        <v>24.194325352859</v>
      </c>
      <c r="V65" s="425">
        <f>(H65/'Population Figures'!C25)*1000</f>
        <v>71.42685100438365</v>
      </c>
      <c r="W65" s="425">
        <f>(I65/'Population Figures'!C25)*1000</f>
        <v>25.08550508213305</v>
      </c>
      <c r="X65" s="500">
        <f>(J65/'Population Figures'!C25)*1000</f>
        <v>9.7909340527000328</v>
      </c>
      <c r="Y65" s="186">
        <f>(K65/'Population Figures'!C25)*1000</f>
        <v>0</v>
      </c>
      <c r="Z65" s="186">
        <f>(L65/'Population Figures'!C25)*1000</f>
        <v>3.6128907943542558E-2</v>
      </c>
      <c r="AA65" s="501">
        <f>(M65/'Population Figures'!C25)*1000</f>
        <v>18.160797726287395</v>
      </c>
    </row>
    <row r="66" spans="1:27">
      <c r="A66" s="7" t="s">
        <v>51</v>
      </c>
      <c r="B66" s="425">
        <v>152283</v>
      </c>
      <c r="C66" s="280">
        <v>510</v>
      </c>
      <c r="D66" s="425">
        <v>85</v>
      </c>
      <c r="E66" s="425">
        <v>17402</v>
      </c>
      <c r="F66" s="280">
        <v>79182</v>
      </c>
      <c r="G66" s="425">
        <v>9041</v>
      </c>
      <c r="H66" s="425">
        <v>30965</v>
      </c>
      <c r="I66" s="425">
        <v>4524</v>
      </c>
      <c r="J66" s="425">
        <v>1623</v>
      </c>
      <c r="K66" s="280">
        <v>0</v>
      </c>
      <c r="L66" s="280">
        <v>123</v>
      </c>
      <c r="M66" s="280">
        <v>8828</v>
      </c>
      <c r="N66" s="233"/>
      <c r="O66" s="7" t="s">
        <v>51</v>
      </c>
      <c r="P66" s="425">
        <f>(B66*1000)/SUM('Population Figures'!$B26:$D26)</f>
        <v>473.19308930458021</v>
      </c>
      <c r="Q66" s="280">
        <f>(C66/SUM('Population Figures'!B26:D26))*1000</f>
        <v>1.5847368093965573</v>
      </c>
      <c r="R66" s="425">
        <f>(D66/'Population Figures'!B26)*1000</f>
        <v>1.1603461926993748</v>
      </c>
      <c r="S66" s="425">
        <f>(E66/'Population Figures'!B26)*1000</f>
        <v>237.55699347475905</v>
      </c>
      <c r="T66" s="280">
        <f>(F66/'Population Figures'!D26)*1000</f>
        <v>1738.2771338250791</v>
      </c>
      <c r="U66" s="425">
        <f>(G66/'Population Figures'!C26)*1000</f>
        <v>44.53387451111746</v>
      </c>
      <c r="V66" s="425">
        <f>(H66/'Population Figures'!C26)*1000</f>
        <v>152.52642674889415</v>
      </c>
      <c r="W66" s="425">
        <f>(I66/'Population Figures'!C26)*1000</f>
        <v>22.284177445890432</v>
      </c>
      <c r="X66" s="500">
        <f>(J66/'Population Figures'!C26)*1000</f>
        <v>7.9945225452431847</v>
      </c>
      <c r="Y66" s="186">
        <f>(K66/'Population Figures'!C26)*1000</f>
        <v>0</v>
      </c>
      <c r="Z66" s="186">
        <f>(L66/'Population Figures'!C26)*1000</f>
        <v>0.60586954594264442</v>
      </c>
      <c r="AA66" s="501">
        <f>(M66/'Population Figures'!C26)*1000</f>
        <v>43.484685785216783</v>
      </c>
    </row>
    <row r="67" spans="1:27">
      <c r="A67" s="7" t="s">
        <v>52</v>
      </c>
      <c r="B67" s="425">
        <v>12944</v>
      </c>
      <c r="C67" s="280">
        <v>303</v>
      </c>
      <c r="D67" s="425">
        <v>74</v>
      </c>
      <c r="E67" s="425">
        <v>2365</v>
      </c>
      <c r="F67" s="280">
        <v>7062</v>
      </c>
      <c r="G67" s="425">
        <v>957</v>
      </c>
      <c r="H67" s="425">
        <v>1398</v>
      </c>
      <c r="I67" s="425">
        <v>276</v>
      </c>
      <c r="J67" s="425">
        <v>91</v>
      </c>
      <c r="K67" s="280">
        <v>0</v>
      </c>
      <c r="L67" s="280">
        <v>0</v>
      </c>
      <c r="M67" s="280">
        <v>418</v>
      </c>
      <c r="N67" s="233"/>
      <c r="O67" s="7" t="s">
        <v>52</v>
      </c>
      <c r="P67" s="425">
        <f>(B67*1000)/SUM('Population Figures'!$B27:$D27)</f>
        <v>670.3262558259969</v>
      </c>
      <c r="Q67" s="280">
        <f>(C67/SUM('Population Figures'!B27:D27))*1000</f>
        <v>15.691351631279129</v>
      </c>
      <c r="R67" s="425">
        <f>(D67/'Population Figures'!B27)*1000</f>
        <v>17.552182163187855</v>
      </c>
      <c r="S67" s="425">
        <f>(E67/'Population Figures'!B27)*1000</f>
        <v>560.95825426944964</v>
      </c>
      <c r="T67" s="280">
        <f>(F67/'Population Figures'!D27)*1000</f>
        <v>2109.9492082461907</v>
      </c>
      <c r="U67" s="425">
        <f>(G67/'Population Figures'!C27)*1000</f>
        <v>81.467608751170516</v>
      </c>
      <c r="V67" s="425">
        <f>(H67/'Population Figures'!C27)*1000</f>
        <v>119.00910870860645</v>
      </c>
      <c r="W67" s="425">
        <f>(I67/'Population Figures'!C27)*1000</f>
        <v>23.495360517578955</v>
      </c>
      <c r="X67" s="500">
        <f>(J67/'Population Figures'!C27)*1000</f>
        <v>7.7466587213756704</v>
      </c>
      <c r="Y67" s="186">
        <f>(K67/'Population Figures'!C27)*1000</f>
        <v>0</v>
      </c>
      <c r="Z67" s="186">
        <f>(L67/'Population Figures'!C27)*1000</f>
        <v>0</v>
      </c>
      <c r="AA67" s="501">
        <f>(M67/'Population Figures'!C27)*1000</f>
        <v>35.583553247637695</v>
      </c>
    </row>
    <row r="68" spans="1:27">
      <c r="A68" s="7" t="s">
        <v>53</v>
      </c>
      <c r="B68" s="425">
        <v>57293</v>
      </c>
      <c r="C68" s="280">
        <v>578</v>
      </c>
      <c r="D68" s="425">
        <v>0</v>
      </c>
      <c r="E68" s="425">
        <v>9592</v>
      </c>
      <c r="F68" s="280">
        <v>32327</v>
      </c>
      <c r="G68" s="425">
        <v>1624</v>
      </c>
      <c r="H68" s="425">
        <v>8693</v>
      </c>
      <c r="I68" s="425">
        <v>2628</v>
      </c>
      <c r="J68" s="425">
        <v>508</v>
      </c>
      <c r="K68" s="280">
        <v>0</v>
      </c>
      <c r="L68" s="280">
        <v>0</v>
      </c>
      <c r="M68" s="280">
        <v>1343</v>
      </c>
      <c r="N68" s="233"/>
      <c r="O68" s="7" t="s">
        <v>53</v>
      </c>
      <c r="P68" s="425">
        <f>(B68*1000)/SUM('Population Figures'!$B28:$D28)</f>
        <v>421.45799617478298</v>
      </c>
      <c r="Q68" s="280">
        <f>(C68/SUM('Population Figures'!B28:D28))*1000</f>
        <v>4.2518758275709869</v>
      </c>
      <c r="R68" s="425">
        <f>(D68/'Population Figures'!B28)*1000</f>
        <v>0</v>
      </c>
      <c r="S68" s="425">
        <f>(E68/'Population Figures'!B28)*1000</f>
        <v>334.1345316473334</v>
      </c>
      <c r="T68" s="280">
        <f>(F68/'Population Figures'!D28)*1000</f>
        <v>1252.1594298330558</v>
      </c>
      <c r="U68" s="425">
        <f>(G68/'Population Figures'!C28)*1000</f>
        <v>19.946939176574631</v>
      </c>
      <c r="V68" s="425">
        <f>(H68/'Population Figures'!C28)*1000</f>
        <v>106.77262454554388</v>
      </c>
      <c r="W68" s="425">
        <f>(I68/'Population Figures'!C28)*1000</f>
        <v>32.278667583767316</v>
      </c>
      <c r="X68" s="500">
        <f>(J68/'Population Figures'!C28)*1000</f>
        <v>6.239559791687137</v>
      </c>
      <c r="Y68" s="186">
        <f>(K68/'Population Figures'!C28)*1000</f>
        <v>0</v>
      </c>
      <c r="Z68" s="186">
        <f>(L68/'Population Figures'!C28)*1000</f>
        <v>0</v>
      </c>
      <c r="AA68" s="501">
        <f>(M68/'Population Figures'!C28)*1000</f>
        <v>16.495529134322492</v>
      </c>
    </row>
    <row r="69" spans="1:27">
      <c r="A69" s="7" t="s">
        <v>54</v>
      </c>
      <c r="B69" s="425">
        <v>87156</v>
      </c>
      <c r="C69" s="280">
        <v>316</v>
      </c>
      <c r="D69" s="425">
        <v>0</v>
      </c>
      <c r="E69" s="425">
        <v>18738</v>
      </c>
      <c r="F69" s="280">
        <v>37618</v>
      </c>
      <c r="G69" s="425">
        <v>7426</v>
      </c>
      <c r="H69" s="425">
        <v>14807</v>
      </c>
      <c r="I69" s="425">
        <v>4377</v>
      </c>
      <c r="J69" s="425">
        <v>1928</v>
      </c>
      <c r="K69" s="280">
        <v>0</v>
      </c>
      <c r="L69" s="280">
        <v>0</v>
      </c>
      <c r="M69" s="280">
        <v>1946</v>
      </c>
      <c r="N69" s="233"/>
      <c r="O69" s="7" t="s">
        <v>54</v>
      </c>
      <c r="P69" s="425">
        <f>(B69*1000)/SUM('Population Figures'!$B29:$D29)</f>
        <v>509.74382968768276</v>
      </c>
      <c r="Q69" s="280">
        <f>(C69/SUM('Population Figures'!B29:D29))*1000</f>
        <v>1.8481693765352674</v>
      </c>
      <c r="R69" s="425">
        <f>(D69/'Population Figures'!B29)*1000</f>
        <v>0</v>
      </c>
      <c r="S69" s="425">
        <f>(E69/'Population Figures'!B29)*1000</f>
        <v>510.89238487335388</v>
      </c>
      <c r="T69" s="280">
        <f>(F69/'Population Figures'!D29)*1000</f>
        <v>1398.8546779711439</v>
      </c>
      <c r="U69" s="425">
        <f>(G69/'Population Figures'!C29)*1000</f>
        <v>69.136308199346431</v>
      </c>
      <c r="V69" s="425">
        <f>(H69/'Population Figures'!C29)*1000</f>
        <v>137.85366489465699</v>
      </c>
      <c r="W69" s="425">
        <f>(I69/'Population Figures'!C29)*1000</f>
        <v>40.750016292558492</v>
      </c>
      <c r="X69" s="500">
        <f>(J69/'Population Figures'!C29)*1000</f>
        <v>17.949744439582538</v>
      </c>
      <c r="Y69" s="186">
        <f>(K69/'Population Figures'!C29)*1000</f>
        <v>0</v>
      </c>
      <c r="Z69" s="186">
        <f>(L69/'Population Figures'!C29)*1000</f>
        <v>0</v>
      </c>
      <c r="AA69" s="501">
        <f>(M69/'Population Figures'!C29)*1000</f>
        <v>18.117325041196896</v>
      </c>
    </row>
    <row r="70" spans="1:27">
      <c r="A70" s="7" t="s">
        <v>55</v>
      </c>
      <c r="B70" s="425">
        <v>50521</v>
      </c>
      <c r="C70" s="280">
        <v>614</v>
      </c>
      <c r="D70" s="425">
        <v>68</v>
      </c>
      <c r="E70" s="425">
        <v>8612</v>
      </c>
      <c r="F70" s="280">
        <v>25331</v>
      </c>
      <c r="G70" s="425">
        <v>4126</v>
      </c>
      <c r="H70" s="425">
        <v>8712</v>
      </c>
      <c r="I70" s="425">
        <v>1744</v>
      </c>
      <c r="J70" s="425">
        <v>332</v>
      </c>
      <c r="K70" s="280">
        <v>0</v>
      </c>
      <c r="L70" s="280">
        <v>15</v>
      </c>
      <c r="M70" s="280">
        <v>967</v>
      </c>
      <c r="N70" s="233"/>
      <c r="O70" s="7" t="s">
        <v>55</v>
      </c>
      <c r="P70" s="425">
        <f>(B70*1000)/SUM('Population Figures'!$B30:$D30)</f>
        <v>466.5773919468046</v>
      </c>
      <c r="Q70" s="280">
        <f>(C70/SUM('Population Figures'!B30:D30))*1000</f>
        <v>5.6704839305504242</v>
      </c>
      <c r="R70" s="425">
        <f>(D70/'Population Figures'!B30)*1000</f>
        <v>2.9815407550313497</v>
      </c>
      <c r="S70" s="425">
        <f>(E70/'Population Figures'!B30)*1000</f>
        <v>377.60336738720571</v>
      </c>
      <c r="T70" s="280">
        <f>(F70/'Population Figures'!D30)*1000</f>
        <v>1230.1976591714827</v>
      </c>
      <c r="U70" s="425">
        <f>(G70/'Population Figures'!C30)*1000</f>
        <v>63.592367682870439</v>
      </c>
      <c r="V70" s="425">
        <f>(H70/'Population Figures'!C30)*1000</f>
        <v>134.27452914521749</v>
      </c>
      <c r="W70" s="425">
        <f>(I70/'Population Figures'!C30)*1000</f>
        <v>26.879565981319935</v>
      </c>
      <c r="X70" s="500">
        <f>(J70/'Population Figures'!C30)*1000</f>
        <v>5.1169815973613639</v>
      </c>
      <c r="Y70" s="186">
        <f>(K70/'Population Figures'!C30)*1000</f>
        <v>0</v>
      </c>
      <c r="Z70" s="186">
        <f>(L70/'Population Figures'!C30)*1000</f>
        <v>0.23118892759162787</v>
      </c>
      <c r="AA70" s="501">
        <f>(M70/'Population Figures'!C30)*1000</f>
        <v>14.90397953207361</v>
      </c>
    </row>
    <row r="71" spans="1:27">
      <c r="A71" s="7" t="s">
        <v>56</v>
      </c>
      <c r="B71" s="425">
        <v>12755</v>
      </c>
      <c r="C71" s="280">
        <v>53</v>
      </c>
      <c r="D71" s="425">
        <v>155</v>
      </c>
      <c r="E71" s="425">
        <v>2897</v>
      </c>
      <c r="F71" s="280">
        <v>6297</v>
      </c>
      <c r="G71" s="425">
        <v>814</v>
      </c>
      <c r="H71" s="425">
        <v>2045</v>
      </c>
      <c r="I71" s="425">
        <v>209</v>
      </c>
      <c r="J71" s="425">
        <v>48</v>
      </c>
      <c r="K71" s="280">
        <v>0</v>
      </c>
      <c r="L71" s="280">
        <v>0</v>
      </c>
      <c r="M71" s="280">
        <v>237</v>
      </c>
      <c r="N71" s="233"/>
      <c r="O71" s="7" t="s">
        <v>56</v>
      </c>
      <c r="P71" s="425">
        <f>(B71*1000)/SUM('Population Figures'!$B31:$D31)</f>
        <v>583.21902149062646</v>
      </c>
      <c r="Q71" s="280">
        <f>(C71/SUM('Population Figures'!B31:D31))*1000</f>
        <v>2.4234110653863743</v>
      </c>
      <c r="R71" s="425">
        <f>(D71/'Population Figures'!B31)*1000</f>
        <v>29.568866844715757</v>
      </c>
      <c r="S71" s="425">
        <f>(E71/'Population Figures'!B31)*1000</f>
        <v>552.65165967188102</v>
      </c>
      <c r="T71" s="280">
        <f>(F71/'Population Figures'!D31)*1000</f>
        <v>1975.219573400251</v>
      </c>
      <c r="U71" s="425">
        <f>(G71/'Population Figures'!C31)*1000</f>
        <v>60.56547619047619</v>
      </c>
      <c r="V71" s="425">
        <f>(H71/'Population Figures'!C31)*1000</f>
        <v>152.15773809523807</v>
      </c>
      <c r="W71" s="425">
        <f>(I71/'Population Figures'!C31)*1000</f>
        <v>15.550595238095239</v>
      </c>
      <c r="X71" s="500">
        <f>(J71/'Population Figures'!C31)*1000</f>
        <v>3.5714285714285712</v>
      </c>
      <c r="Y71" s="186">
        <f>(K71/'Population Figures'!C31)*1000</f>
        <v>0</v>
      </c>
      <c r="Z71" s="186">
        <f>(L71/'Population Figures'!C31)*1000</f>
        <v>0</v>
      </c>
      <c r="AA71" s="501">
        <f>(M71/'Population Figures'!C31)*1000</f>
        <v>17.633928571428573</v>
      </c>
    </row>
    <row r="72" spans="1:27">
      <c r="A72" s="7" t="s">
        <v>57</v>
      </c>
      <c r="B72" s="425">
        <v>53416</v>
      </c>
      <c r="C72" s="280">
        <v>37</v>
      </c>
      <c r="D72" s="425">
        <v>46</v>
      </c>
      <c r="E72" s="425">
        <v>11300</v>
      </c>
      <c r="F72" s="280">
        <v>29982</v>
      </c>
      <c r="G72" s="425">
        <v>3081</v>
      </c>
      <c r="H72" s="425">
        <v>6614</v>
      </c>
      <c r="I72" s="425">
        <v>900</v>
      </c>
      <c r="J72" s="425">
        <v>260</v>
      </c>
      <c r="K72" s="280">
        <v>0</v>
      </c>
      <c r="L72" s="280">
        <v>0</v>
      </c>
      <c r="M72" s="280">
        <v>1196</v>
      </c>
      <c r="O72" s="7" t="s">
        <v>57</v>
      </c>
      <c r="P72" s="425">
        <f>(B72*1000)/SUM('Population Figures'!$B32:$D32)</f>
        <v>478.72378562466395</v>
      </c>
      <c r="Q72" s="280">
        <f>(C72/SUM('Population Figures'!B32:D32))*1000</f>
        <v>0.33160064527693139</v>
      </c>
      <c r="R72" s="425">
        <f>(D72/'Population Figures'!B32)*1000</f>
        <v>2.0541216397249262</v>
      </c>
      <c r="S72" s="425">
        <f>(E72/'Population Figures'!B32)*1000</f>
        <v>504.59944628025369</v>
      </c>
      <c r="T72" s="280">
        <f>(F72/'Population Figures'!D32)*1000</f>
        <v>1367.1059231225206</v>
      </c>
      <c r="U72" s="425">
        <f>(G72/'Population Figures'!C32)*1000</f>
        <v>45.81072039253587</v>
      </c>
      <c r="V72" s="425">
        <f>(H72/'Population Figures'!C32)*1000</f>
        <v>98.342130696602482</v>
      </c>
      <c r="W72" s="425">
        <f>(I72/'Population Figures'!C32)*1000</f>
        <v>13.381904691101035</v>
      </c>
      <c r="X72" s="500">
        <f>(J72/'Population Figures'!C32)*1000</f>
        <v>3.8658835774291873</v>
      </c>
      <c r="Y72" s="186">
        <f>(K72/'Population Figures'!C32)*1000</f>
        <v>0</v>
      </c>
      <c r="Z72" s="186">
        <f>(L72/'Population Figures'!C32)*1000</f>
        <v>0</v>
      </c>
      <c r="AA72" s="501">
        <f>(M72/'Population Figures'!C32)*1000</f>
        <v>17.783064456174262</v>
      </c>
    </row>
    <row r="73" spans="1:27">
      <c r="A73" s="7" t="s">
        <v>58</v>
      </c>
      <c r="B73" s="425">
        <v>119140</v>
      </c>
      <c r="C73" s="280">
        <v>1475</v>
      </c>
      <c r="D73" s="425">
        <v>90</v>
      </c>
      <c r="E73" s="425">
        <v>21838</v>
      </c>
      <c r="F73" s="280">
        <v>59486</v>
      </c>
      <c r="G73" s="425">
        <v>5498</v>
      </c>
      <c r="H73" s="425">
        <v>22820</v>
      </c>
      <c r="I73" s="425">
        <v>3189</v>
      </c>
      <c r="J73" s="425">
        <v>878</v>
      </c>
      <c r="K73" s="280">
        <v>0</v>
      </c>
      <c r="L73" s="280">
        <v>0</v>
      </c>
      <c r="M73" s="280">
        <v>3866</v>
      </c>
      <c r="O73" s="7" t="s">
        <v>58</v>
      </c>
      <c r="P73" s="425">
        <f>(B73*1000)/SUM('Population Figures'!$B33:$D33)</f>
        <v>393.18834361902248</v>
      </c>
      <c r="Q73" s="280">
        <f>(C73/SUM('Population Figures'!B33:D33))*1000</f>
        <v>4.8678261443516719</v>
      </c>
      <c r="R73" s="425">
        <f>(D73/'Population Figures'!B33)*1000</f>
        <v>1.3603180121219451</v>
      </c>
      <c r="S73" s="425">
        <f>(E73/'Population Figures'!B33)*1000</f>
        <v>330.0736083191004</v>
      </c>
      <c r="T73" s="280">
        <f>(F73/'Population Figures'!D33)*1000</f>
        <v>1259.6027611908694</v>
      </c>
      <c r="U73" s="425">
        <f>(G73/'Population Figures'!C33)*1000</f>
        <v>28.994373045463892</v>
      </c>
      <c r="V73" s="425">
        <f>(H73/'Population Figures'!C33)*1000</f>
        <v>120.34405109084868</v>
      </c>
      <c r="W73" s="425">
        <f>(I73/'Population Figures'!C33)*1000</f>
        <v>16.817580145868384</v>
      </c>
      <c r="X73" s="500">
        <f>(J73/'Population Figures'!C33)*1000</f>
        <v>4.6302400025313384</v>
      </c>
      <c r="Y73" s="186">
        <f>(K73/'Population Figures'!C33)*1000</f>
        <v>0</v>
      </c>
      <c r="Z73" s="186">
        <f>(L73/'Population Figures'!C33)*1000</f>
        <v>0</v>
      </c>
      <c r="AA73" s="501">
        <f>(M73/'Population Figures'!C33)*1000</f>
        <v>20.387822152376032</v>
      </c>
    </row>
    <row r="74" spans="1:27">
      <c r="A74" s="7" t="s">
        <v>59</v>
      </c>
      <c r="B74" s="425">
        <v>42768</v>
      </c>
      <c r="C74" s="280">
        <v>378</v>
      </c>
      <c r="D74" s="425">
        <v>0</v>
      </c>
      <c r="E74" s="425">
        <v>7209</v>
      </c>
      <c r="F74" s="280">
        <v>19613</v>
      </c>
      <c r="G74" s="425">
        <v>2188</v>
      </c>
      <c r="H74" s="425">
        <v>8071</v>
      </c>
      <c r="I74" s="425">
        <v>1585</v>
      </c>
      <c r="J74" s="425">
        <v>435</v>
      </c>
      <c r="K74" s="280">
        <v>0</v>
      </c>
      <c r="L74" s="280">
        <v>0</v>
      </c>
      <c r="M74" s="280">
        <v>3289</v>
      </c>
      <c r="O74" s="7" t="s">
        <v>59</v>
      </c>
      <c r="P74" s="425">
        <f>(B74*1000)/SUM('Population Figures'!$B34:$D34)</f>
        <v>495.17193469954844</v>
      </c>
      <c r="Q74" s="280">
        <f>(C74/SUM('Population Figures'!B34:D34))*1000</f>
        <v>4.3765196248697471</v>
      </c>
      <c r="R74" s="425">
        <f>(D74/'Population Figures'!B34)*1000</f>
        <v>0</v>
      </c>
      <c r="S74" s="425">
        <f>(E74/'Population Figures'!B34)*1000</f>
        <v>381.18654822335026</v>
      </c>
      <c r="T74" s="280">
        <f>(F74/'Population Figures'!D34)*1000</f>
        <v>1425.881497637223</v>
      </c>
      <c r="U74" s="425">
        <f>(G74/'Population Figures'!C34)*1000</f>
        <v>40.742602834106101</v>
      </c>
      <c r="V74" s="425">
        <f>(H74/'Population Figures'!C34)*1000</f>
        <v>150.28955551831368</v>
      </c>
      <c r="W74" s="425">
        <f>(I74/'Population Figures'!C34)*1000</f>
        <v>29.514179840977228</v>
      </c>
      <c r="X74" s="500">
        <f>(J74/'Population Figures'!C34)*1000</f>
        <v>8.1001061393218254</v>
      </c>
      <c r="Y74" s="186">
        <f>(K74/'Population Figures'!C34)*1000</f>
        <v>0</v>
      </c>
      <c r="Z74" s="186">
        <f>(L74/'Population Figures'!C34)*1000</f>
        <v>0</v>
      </c>
      <c r="AA74" s="501">
        <f>(M74/'Population Figures'!C34)*1000</f>
        <v>61.244250786734447</v>
      </c>
    </row>
    <row r="75" spans="1:27">
      <c r="A75" s="7" t="s">
        <v>60</v>
      </c>
      <c r="B75" s="425">
        <v>57661</v>
      </c>
      <c r="C75" s="280">
        <v>507</v>
      </c>
      <c r="D75" s="425">
        <v>42</v>
      </c>
      <c r="E75" s="425">
        <v>10998</v>
      </c>
      <c r="F75" s="280">
        <v>23435</v>
      </c>
      <c r="G75" s="425">
        <v>4431</v>
      </c>
      <c r="H75" s="425">
        <v>10983</v>
      </c>
      <c r="I75" s="425">
        <v>4790</v>
      </c>
      <c r="J75" s="425">
        <v>2285</v>
      </c>
      <c r="K75" s="280">
        <v>88</v>
      </c>
      <c r="L75" s="280">
        <v>102</v>
      </c>
      <c r="M75" s="280">
        <v>0</v>
      </c>
      <c r="O75" s="7" t="s">
        <v>60</v>
      </c>
      <c r="P75" s="425">
        <f>(B75*1000)/SUM('Population Figures'!$B35:$D35)</f>
        <v>624.57755632582325</v>
      </c>
      <c r="Q75" s="280">
        <f>(C75/SUM('Population Figures'!B35:D35))*1000</f>
        <v>5.4917677642980935</v>
      </c>
      <c r="R75" s="425">
        <f>(D75/'Population Figures'!B35)*1000</f>
        <v>2.0656076329120152</v>
      </c>
      <c r="S75" s="425">
        <f>(E75/'Population Figures'!B35)*1000</f>
        <v>540.89411301824623</v>
      </c>
      <c r="T75" s="280">
        <f>(F75/'Population Figures'!D35)*1000</f>
        <v>1597.6956640305427</v>
      </c>
      <c r="U75" s="425">
        <f>(G75/'Population Figures'!C35)*1000</f>
        <v>77.304209773373572</v>
      </c>
      <c r="V75" s="425">
        <f>(H75/'Population Figures'!C35)*1000</f>
        <v>191.6118564524852</v>
      </c>
      <c r="W75" s="425">
        <f>(I75/'Population Figures'!C35)*1000</f>
        <v>83.567403478776669</v>
      </c>
      <c r="X75" s="500">
        <f>(J75/'Population Figures'!C35)*1000</f>
        <v>39.864617317119979</v>
      </c>
      <c r="Y75" s="186">
        <f>(K75/'Population Figures'!C35)*1000</f>
        <v>1.5352675378146863</v>
      </c>
      <c r="Z75" s="186">
        <f>(L75/'Population Figures'!C35)*1000</f>
        <v>1.7795146461033864</v>
      </c>
      <c r="AA75" s="501">
        <f>(M75/'Population Figures'!C35)*1000</f>
        <v>0</v>
      </c>
    </row>
    <row r="76" spans="1:27">
      <c r="A76" s="7" t="s">
        <v>61</v>
      </c>
      <c r="B76" s="425">
        <v>56876</v>
      </c>
      <c r="C76" s="280">
        <v>2990</v>
      </c>
      <c r="D76" s="425">
        <v>278</v>
      </c>
      <c r="E76" s="425">
        <v>14275</v>
      </c>
      <c r="F76" s="280">
        <v>21593</v>
      </c>
      <c r="G76" s="425">
        <v>5079</v>
      </c>
      <c r="H76" s="425">
        <v>8069</v>
      </c>
      <c r="I76" s="425">
        <v>2541</v>
      </c>
      <c r="J76" s="425">
        <v>807</v>
      </c>
      <c r="K76" s="280">
        <v>8</v>
      </c>
      <c r="L76" s="280">
        <v>0</v>
      </c>
      <c r="M76" s="280">
        <v>1236</v>
      </c>
      <c r="O76" s="7" t="s">
        <v>61</v>
      </c>
      <c r="P76" s="425">
        <f>(B76*1000)/SUM('Population Figures'!$B36:$D36)</f>
        <v>353.22320208669731</v>
      </c>
      <c r="Q76" s="280">
        <f>(C76/SUM('Population Figures'!B36:D36))*1000</f>
        <v>18.569121848217613</v>
      </c>
      <c r="R76" s="425">
        <f>(D76/'Population Figures'!B36)*1000</f>
        <v>7.1584910518861848</v>
      </c>
      <c r="S76" s="425">
        <f>(E76/'Population Figures'!B36)*1000</f>
        <v>367.58079052401183</v>
      </c>
      <c r="T76" s="280">
        <f>(F76/'Population Figures'!D36)*1000</f>
        <v>1125.2801083954348</v>
      </c>
      <c r="U76" s="425">
        <f>(G76/'Population Figures'!C36)*1000</f>
        <v>49.312594663870442</v>
      </c>
      <c r="V76" s="425">
        <f>(H76/'Population Figures'!C36)*1000</f>
        <v>78.342848265952071</v>
      </c>
      <c r="W76" s="425">
        <f>(I76/'Population Figures'!C36)*1000</f>
        <v>24.670861004310847</v>
      </c>
      <c r="X76" s="500">
        <f>(J76/'Population Figures'!C36)*1000</f>
        <v>7.8352557380869152</v>
      </c>
      <c r="Y76" s="186">
        <f>(K76/'Population Figures'!C36)*1000</f>
        <v>7.767291933667328E-2</v>
      </c>
      <c r="Z76" s="186">
        <f>(L76/'Population Figures'!C36)*1000</f>
        <v>0</v>
      </c>
      <c r="AA76" s="501">
        <f>(M76/'Population Figures'!C36)*1000</f>
        <v>12.00046603751602</v>
      </c>
    </row>
    <row r="77" spans="1:27">
      <c r="A77" s="52" t="s">
        <v>5</v>
      </c>
      <c r="B77" s="53">
        <f>SUM(B45:B76)</f>
        <v>2400651.8459999999</v>
      </c>
      <c r="C77" s="52">
        <f t="shared" ref="C77:M77" si="3">SUM(C45:C76)</f>
        <v>22066</v>
      </c>
      <c r="D77" s="53">
        <f t="shared" si="3"/>
        <v>2480</v>
      </c>
      <c r="E77" s="53">
        <f t="shared" si="3"/>
        <v>482051</v>
      </c>
      <c r="F77" s="52">
        <f t="shared" si="3"/>
        <v>1117893</v>
      </c>
      <c r="G77" s="53">
        <f t="shared" si="3"/>
        <v>158932</v>
      </c>
      <c r="H77" s="53">
        <f t="shared" si="3"/>
        <v>389784</v>
      </c>
      <c r="I77" s="53">
        <f t="shared" si="3"/>
        <v>119282</v>
      </c>
      <c r="J77" s="53">
        <f t="shared" si="3"/>
        <v>34572</v>
      </c>
      <c r="K77" s="52">
        <f t="shared" si="3"/>
        <v>2109</v>
      </c>
      <c r="L77" s="52">
        <f t="shared" si="3"/>
        <v>3804.846</v>
      </c>
      <c r="M77" s="52">
        <f t="shared" si="3"/>
        <v>67678</v>
      </c>
      <c r="N77" s="1"/>
      <c r="O77" s="52" t="s">
        <v>5</v>
      </c>
      <c r="P77" s="53">
        <f>(B77*1000)/SUM('Population Figures'!$B37:$D37)</f>
        <v>474.68103096452722</v>
      </c>
      <c r="Q77" s="52">
        <f>(C77/SUM('Population Figures'!B37:D37))*1000</f>
        <v>4.3631114802072215</v>
      </c>
      <c r="R77" s="53">
        <f>(D77/'Population Figures'!B37)*1000</f>
        <v>2.3098301902256928</v>
      </c>
      <c r="S77" s="53">
        <f>(E77/'Population Figures'!B37)*1000</f>
        <v>448.97417460826023</v>
      </c>
      <c r="T77" s="52">
        <f>(F77/'Population Figures'!D37)*1000</f>
        <v>1364.8437299694895</v>
      </c>
      <c r="U77" s="53">
        <f>(G77/'Population Figures'!C37)*1000</f>
        <v>50.220797461974648</v>
      </c>
      <c r="V77" s="53">
        <f>(H77/'Population Figures'!C37)*1000</f>
        <v>123.16753906021648</v>
      </c>
      <c r="W77" s="53">
        <f>(I77/'Population Figures'!C37)*1000</f>
        <v>37.691825201087639</v>
      </c>
      <c r="X77" s="445">
        <f>(J77/'Population Figures'!C37)*1000</f>
        <v>10.924379041699517</v>
      </c>
      <c r="Y77" s="446">
        <f>(K77/'Population Figures'!C37)*1000</f>
        <v>0.6664212483785803</v>
      </c>
      <c r="Z77" s="446">
        <f>(L77/'Population Figures'!C37)*1000</f>
        <v>1.202290289809506</v>
      </c>
      <c r="AA77" s="446">
        <f>(M77/'Population Figures'!C37)*1000</f>
        <v>21.385517898418946</v>
      </c>
    </row>
  </sheetData>
  <sheetProtection selectLockedCells="1" selectUnlockedCells="1"/>
  <mergeCells count="4">
    <mergeCell ref="B1:M1"/>
    <mergeCell ref="O1:Z1"/>
    <mergeCell ref="B43:M43"/>
    <mergeCell ref="O43:Z43"/>
  </mergeCells>
  <phoneticPr fontId="0" type="noConversion"/>
  <pageMargins left="0.75" right="0.75" top="1" bottom="1" header="0.5" footer="0.5"/>
  <pageSetup paperSize="9" scale="3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BA1005"/>
  <sheetViews>
    <sheetView tabSelected="1" zoomScale="115" zoomScaleNormal="115" zoomScaleSheetLayoutView="40" zoomScalePageLayoutView="130" workbookViewId="0">
      <selection activeCell="A68" sqref="A68:I68"/>
    </sheetView>
  </sheetViews>
  <sheetFormatPr defaultRowHeight="12.75"/>
  <cols>
    <col min="1" max="1" width="9.140625" style="284"/>
    <col min="2" max="2" width="11" style="284" customWidth="1"/>
    <col min="3" max="3" width="11" style="284" bestFit="1" customWidth="1"/>
    <col min="4" max="8" width="9.5703125" style="284" bestFit="1" customWidth="1"/>
    <col min="9" max="11" width="9.5703125" style="284" customWidth="1"/>
    <col min="12" max="12" width="9.42578125" style="286" bestFit="1" customWidth="1"/>
    <col min="15" max="15" width="12.85546875" bestFit="1" customWidth="1"/>
    <col min="16" max="16" width="12.5703125" bestFit="1" customWidth="1"/>
    <col min="17" max="17" width="12.28515625" bestFit="1" customWidth="1"/>
    <col min="18" max="18" width="12.85546875" bestFit="1" customWidth="1"/>
  </cols>
  <sheetData>
    <row r="1" spans="1:53" ht="13.5" thickBot="1">
      <c r="H1" s="285"/>
      <c r="I1" s="285"/>
      <c r="J1" s="285"/>
      <c r="K1" s="285"/>
      <c r="V1" s="22" t="s">
        <v>31</v>
      </c>
      <c r="W1" t="s">
        <v>32</v>
      </c>
      <c r="X1" t="s">
        <v>33</v>
      </c>
      <c r="Y1" t="s">
        <v>34</v>
      </c>
      <c r="Z1" t="s">
        <v>35</v>
      </c>
      <c r="AA1" t="s">
        <v>36</v>
      </c>
      <c r="AB1" t="s">
        <v>37</v>
      </c>
      <c r="AC1" t="s">
        <v>38</v>
      </c>
      <c r="AD1" t="s">
        <v>39</v>
      </c>
      <c r="AE1" t="s">
        <v>40</v>
      </c>
      <c r="AF1" t="s">
        <v>41</v>
      </c>
      <c r="AG1" t="s">
        <v>140</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row>
    <row r="2" spans="1:53">
      <c r="H2" s="285"/>
      <c r="I2" s="285"/>
      <c r="J2" s="285"/>
      <c r="K2" s="285"/>
      <c r="M2" s="645" t="s">
        <v>70</v>
      </c>
      <c r="N2" s="646"/>
      <c r="O2" s="646"/>
      <c r="P2" s="647"/>
    </row>
    <row r="3" spans="1:53" ht="12.75" customHeight="1">
      <c r="H3" s="285"/>
      <c r="I3" s="285"/>
      <c r="J3" s="285"/>
      <c r="K3" s="285"/>
      <c r="M3" s="648"/>
      <c r="N3" s="649"/>
      <c r="O3" s="649"/>
      <c r="P3" s="650"/>
    </row>
    <row r="4" spans="1:53" ht="13.5" thickBot="1">
      <c r="H4" s="285"/>
      <c r="I4" s="285"/>
      <c r="J4" s="285"/>
      <c r="K4" s="285"/>
      <c r="M4" s="648"/>
      <c r="N4" s="649"/>
      <c r="O4" s="649"/>
      <c r="P4" s="650"/>
    </row>
    <row r="5" spans="1:53" ht="14.25" thickTop="1" thickBot="1">
      <c r="A5" s="287" t="s">
        <v>63</v>
      </c>
      <c r="C5" s="667" t="s">
        <v>31</v>
      </c>
      <c r="D5" s="668"/>
      <c r="E5" s="669"/>
      <c r="H5" s="285"/>
      <c r="I5" s="285"/>
      <c r="J5" s="285"/>
      <c r="K5" s="285"/>
      <c r="M5" s="648"/>
      <c r="N5" s="649"/>
      <c r="O5" s="649"/>
      <c r="P5" s="650"/>
    </row>
    <row r="6" spans="1:53" ht="13.5" thickTop="1">
      <c r="H6" s="285"/>
      <c r="I6" s="285"/>
      <c r="J6" s="285"/>
      <c r="K6" s="285"/>
      <c r="M6" s="648"/>
      <c r="N6" s="649"/>
      <c r="O6" s="649"/>
      <c r="P6" s="650"/>
    </row>
    <row r="7" spans="1:53" ht="13.5" thickBot="1">
      <c r="H7" s="285"/>
      <c r="I7" s="285"/>
      <c r="J7" s="285"/>
      <c r="K7" s="285"/>
      <c r="M7" s="651"/>
      <c r="N7" s="652"/>
      <c r="O7" s="652"/>
      <c r="P7" s="653"/>
    </row>
    <row r="8" spans="1:53">
      <c r="H8" s="285"/>
      <c r="I8" s="285"/>
      <c r="J8" s="285"/>
      <c r="K8" s="285"/>
      <c r="L8" s="288"/>
      <c r="M8" s="201"/>
      <c r="N8" s="202"/>
      <c r="O8" s="202"/>
      <c r="P8" s="201"/>
    </row>
    <row r="9" spans="1:53">
      <c r="H9" s="285"/>
      <c r="I9" s="285"/>
      <c r="J9" s="285"/>
      <c r="K9" s="285"/>
      <c r="L9" s="288"/>
      <c r="M9" s="202"/>
      <c r="N9" s="202"/>
      <c r="O9" s="202"/>
      <c r="P9" s="202"/>
    </row>
    <row r="10" spans="1:53">
      <c r="H10" s="285"/>
      <c r="I10" s="285"/>
      <c r="J10" s="285"/>
      <c r="K10" s="285"/>
      <c r="L10" s="288"/>
      <c r="M10" s="202"/>
      <c r="N10" s="202"/>
      <c r="O10" s="202"/>
      <c r="P10" s="202"/>
    </row>
    <row r="11" spans="1:53">
      <c r="H11" s="285"/>
      <c r="I11" s="285"/>
      <c r="J11" s="285"/>
      <c r="K11" s="285"/>
      <c r="L11" s="288"/>
      <c r="M11" s="202"/>
      <c r="N11" s="202"/>
      <c r="O11" s="202"/>
      <c r="P11" s="202"/>
    </row>
    <row r="12" spans="1:53">
      <c r="H12" s="285"/>
      <c r="I12" s="285"/>
      <c r="J12" s="285"/>
      <c r="K12" s="285"/>
      <c r="L12" s="288"/>
      <c r="M12" s="202"/>
      <c r="N12" s="202"/>
      <c r="O12" s="202"/>
      <c r="P12" s="202"/>
    </row>
    <row r="13" spans="1:53">
      <c r="H13" s="285"/>
      <c r="I13" s="285"/>
      <c r="J13" s="285"/>
      <c r="K13" s="285"/>
      <c r="L13" s="288"/>
      <c r="M13" s="191"/>
      <c r="N13" s="191"/>
      <c r="O13" s="191"/>
      <c r="P13" s="191"/>
    </row>
    <row r="14" spans="1:53">
      <c r="H14" s="285"/>
      <c r="I14" s="285"/>
      <c r="J14" s="285"/>
      <c r="K14" s="285"/>
      <c r="L14" s="288"/>
      <c r="M14" s="191"/>
      <c r="N14" s="191"/>
      <c r="O14" s="191"/>
      <c r="P14" s="591"/>
    </row>
    <row r="15" spans="1:53">
      <c r="H15" s="285"/>
      <c r="I15" s="285"/>
      <c r="J15" s="285"/>
      <c r="K15" s="285"/>
      <c r="L15" s="288"/>
      <c r="M15" s="191"/>
      <c r="N15" s="191"/>
      <c r="O15" s="191"/>
      <c r="P15" s="191"/>
    </row>
    <row r="16" spans="1:53" ht="28.5" customHeight="1">
      <c r="A16" s="670" t="str">
        <f>$C$5 &amp; " Council"</f>
        <v>Aberdeen City Council</v>
      </c>
      <c r="B16" s="670"/>
      <c r="C16" s="670"/>
      <c r="D16" s="670"/>
      <c r="E16" s="670"/>
      <c r="F16" s="670"/>
      <c r="G16" s="670"/>
      <c r="H16" s="670"/>
      <c r="I16" s="670"/>
      <c r="J16" s="456"/>
      <c r="K16" s="576"/>
      <c r="L16" s="288"/>
      <c r="M16" s="191"/>
      <c r="N16" s="191"/>
      <c r="O16" s="191"/>
      <c r="P16" s="191"/>
    </row>
    <row r="17" spans="1:16">
      <c r="H17" s="285"/>
      <c r="I17" s="285"/>
      <c r="J17" s="285"/>
      <c r="K17" s="285"/>
      <c r="L17" s="288"/>
      <c r="M17" s="191"/>
      <c r="N17" s="191"/>
      <c r="O17" s="191"/>
      <c r="P17" s="191"/>
    </row>
    <row r="18" spans="1:16">
      <c r="H18" s="285"/>
      <c r="I18" s="285"/>
      <c r="J18" s="285"/>
      <c r="K18" s="285"/>
      <c r="L18" s="288"/>
      <c r="M18" s="191"/>
      <c r="N18" s="191"/>
      <c r="O18" s="191"/>
      <c r="P18" s="191"/>
    </row>
    <row r="19" spans="1:16">
      <c r="H19" s="285"/>
      <c r="I19" s="285"/>
      <c r="J19" s="285"/>
      <c r="K19" s="285"/>
      <c r="L19" s="288"/>
      <c r="M19" s="191"/>
      <c r="N19" s="191"/>
      <c r="O19" s="191"/>
      <c r="P19" s="191"/>
    </row>
    <row r="20" spans="1:16">
      <c r="H20" s="285"/>
      <c r="I20" s="285"/>
      <c r="J20" s="285"/>
      <c r="K20" s="285"/>
      <c r="L20" s="288"/>
      <c r="M20" s="191"/>
      <c r="N20" s="191"/>
      <c r="O20" s="191"/>
      <c r="P20" s="191"/>
    </row>
    <row r="21" spans="1:16" ht="67.5" customHeight="1">
      <c r="A21" s="670" t="s">
        <v>387</v>
      </c>
      <c r="B21" s="670"/>
      <c r="C21" s="670"/>
      <c r="D21" s="670"/>
      <c r="E21" s="670"/>
      <c r="F21" s="670"/>
      <c r="G21" s="670"/>
      <c r="H21" s="670"/>
      <c r="I21" s="670"/>
      <c r="J21" s="456"/>
      <c r="K21" s="576"/>
      <c r="L21" s="288"/>
      <c r="M21" s="191"/>
      <c r="N21" s="191"/>
      <c r="O21" s="191"/>
      <c r="P21" s="191"/>
    </row>
    <row r="22" spans="1:16" ht="18" customHeight="1">
      <c r="A22" s="289"/>
      <c r="B22" s="289"/>
      <c r="C22" s="289"/>
      <c r="D22" s="289"/>
      <c r="E22" s="289"/>
      <c r="F22" s="289"/>
      <c r="G22" s="289"/>
      <c r="H22" s="289"/>
      <c r="I22" s="289"/>
      <c r="J22" s="456"/>
      <c r="K22" s="576"/>
      <c r="L22" s="288"/>
      <c r="M22" s="191"/>
      <c r="N22" s="191"/>
      <c r="O22" s="191"/>
      <c r="P22" s="191"/>
    </row>
    <row r="23" spans="1:16" ht="18" customHeight="1">
      <c r="A23" s="659" t="s">
        <v>192</v>
      </c>
      <c r="B23" s="659"/>
      <c r="C23" s="659"/>
      <c r="D23" s="659"/>
      <c r="E23" s="659"/>
      <c r="F23" s="659"/>
      <c r="G23" s="659"/>
      <c r="H23" s="659"/>
      <c r="I23" s="659"/>
      <c r="J23" s="457"/>
      <c r="K23" s="577"/>
      <c r="M23" s="284" t="s">
        <v>391</v>
      </c>
    </row>
    <row r="24" spans="1:16" ht="18" customHeight="1">
      <c r="H24" s="285"/>
      <c r="I24" s="285"/>
      <c r="J24" s="285"/>
      <c r="K24" s="285"/>
    </row>
    <row r="25" spans="1:16" ht="65.25" customHeight="1">
      <c r="A25" s="773" t="s">
        <v>392</v>
      </c>
      <c r="B25" s="774"/>
      <c r="C25" s="774"/>
      <c r="D25" s="774"/>
      <c r="E25" s="774"/>
      <c r="F25" s="774"/>
      <c r="G25" s="774"/>
      <c r="H25" s="774"/>
      <c r="I25" s="774"/>
      <c r="J25" s="774"/>
      <c r="K25" s="774"/>
    </row>
    <row r="26" spans="1:16" ht="18" customHeight="1">
      <c r="A26" s="772"/>
      <c r="B26" s="176"/>
      <c r="C26" s="176"/>
      <c r="D26" s="176"/>
      <c r="E26" s="176"/>
      <c r="F26" s="176"/>
      <c r="G26" s="176"/>
      <c r="H26" s="176"/>
      <c r="I26" s="176"/>
      <c r="J26" s="176"/>
      <c r="K26" s="176"/>
    </row>
    <row r="27" spans="1:16" ht="18" customHeight="1">
      <c r="A27" s="772"/>
      <c r="B27" s="176"/>
      <c r="C27" s="176"/>
      <c r="D27" s="176"/>
      <c r="E27" s="176"/>
      <c r="F27" s="176"/>
      <c r="G27" s="176"/>
      <c r="H27" s="176"/>
      <c r="I27" s="176"/>
      <c r="J27" s="176"/>
      <c r="K27" s="176"/>
    </row>
    <row r="28" spans="1:16" ht="26.25" customHeight="1">
      <c r="A28" s="656" t="str">
        <f>"In real terms, spend on social work services in "&amp;C5&amp;" has moved from £"&amp;ROUND(C33,-3)/1000&amp;"million in "&amp;C32&amp;" to £"&amp;ROUND(K33,-3)/1000&amp;"million in "&amp;K32&amp;", as shown in " &amp; $A$31 &amp; "."</f>
        <v>In real terms, spend on social work services in Aberdeen City has moved from £161million in 2006/07 to £164million in 2014/15, as shown in Figure 1.</v>
      </c>
      <c r="B28" s="656"/>
      <c r="C28" s="656"/>
      <c r="D28" s="656"/>
      <c r="E28" s="656"/>
      <c r="F28" s="656"/>
      <c r="G28" s="656"/>
      <c r="H28" s="656"/>
      <c r="I28" s="656"/>
      <c r="J28" s="458"/>
      <c r="K28" s="578"/>
    </row>
    <row r="29" spans="1:16" ht="12.75" customHeight="1">
      <c r="A29" s="291"/>
      <c r="B29" s="291"/>
      <c r="C29" s="291"/>
      <c r="D29" s="291"/>
      <c r="E29" s="291"/>
      <c r="F29" s="291"/>
      <c r="G29" s="291"/>
      <c r="H29" s="291"/>
      <c r="I29" s="291"/>
      <c r="J29" s="458"/>
      <c r="K29" s="578"/>
    </row>
    <row r="30" spans="1:16">
      <c r="H30" s="285"/>
      <c r="I30" s="285"/>
      <c r="J30" s="285"/>
      <c r="K30" s="285"/>
      <c r="L30" s="292" t="s">
        <v>169</v>
      </c>
    </row>
    <row r="31" spans="1:16">
      <c r="A31" s="293" t="str">
        <f>"Figure " &amp; $L$31</f>
        <v>Figure 1</v>
      </c>
      <c r="H31" s="285"/>
      <c r="I31" s="285"/>
      <c r="J31" s="285"/>
      <c r="K31" s="285"/>
      <c r="L31" s="286">
        <v>1</v>
      </c>
    </row>
    <row r="32" spans="1:16">
      <c r="A32" s="294"/>
      <c r="B32" s="294"/>
      <c r="C32" s="295" t="s">
        <v>0</v>
      </c>
      <c r="D32" s="295" t="s">
        <v>1</v>
      </c>
      <c r="E32" s="295" t="s">
        <v>28</v>
      </c>
      <c r="F32" s="295" t="s">
        <v>65</v>
      </c>
      <c r="G32" s="295" t="s">
        <v>267</v>
      </c>
      <c r="H32" s="295" t="s">
        <v>315</v>
      </c>
      <c r="I32" s="295" t="s">
        <v>322</v>
      </c>
      <c r="J32" s="295" t="s">
        <v>369</v>
      </c>
      <c r="K32" s="295" t="s">
        <v>382</v>
      </c>
      <c r="L32"/>
    </row>
    <row r="33" spans="1:22" ht="26.25" customHeight="1">
      <c r="A33" s="672" t="str">
        <f>C5&amp; " (£'000)"</f>
        <v>Aberdeen City (£'000)</v>
      </c>
      <c r="B33" s="673"/>
      <c r="C33" s="296">
        <f>'LFR Data'!B3</f>
        <v>161283.00761829823</v>
      </c>
      <c r="D33" s="296">
        <f>'LFR Data'!B4</f>
        <v>160686.60088329396</v>
      </c>
      <c r="E33" s="296">
        <f>'LFR Data'!B5</f>
        <v>162470.7726446309</v>
      </c>
      <c r="F33" s="296">
        <f>'LFR Data'!B6</f>
        <v>159776.38531887432</v>
      </c>
      <c r="G33" s="296">
        <f>'LFR Data'!B7</f>
        <v>161771.61083026309</v>
      </c>
      <c r="H33" s="296">
        <f>'LFR Data'!B8</f>
        <v>160250.87261912297</v>
      </c>
      <c r="I33" s="444">
        <f>'LFR Data'!B9</f>
        <v>164720</v>
      </c>
      <c r="J33" s="296">
        <f>'LFR Data'!B10</f>
        <v>164861.08358944711</v>
      </c>
      <c r="K33" s="296">
        <f>'LFR Data'!B11</f>
        <v>164239.08945</v>
      </c>
      <c r="L33"/>
    </row>
    <row r="34" spans="1:22">
      <c r="A34" s="671" t="s">
        <v>29</v>
      </c>
      <c r="B34" s="671"/>
      <c r="C34" s="298" t="s">
        <v>24</v>
      </c>
      <c r="D34" s="299">
        <f t="shared" ref="D34:H34" si="0">(D33-C33)/C33</f>
        <v>-3.6978894665442132E-3</v>
      </c>
      <c r="E34" s="299">
        <f t="shared" si="0"/>
        <v>1.1103425870790416E-2</v>
      </c>
      <c r="F34" s="299">
        <f t="shared" si="0"/>
        <v>-1.6583827859611107E-2</v>
      </c>
      <c r="G34" s="299">
        <f t="shared" si="0"/>
        <v>1.2487612029817716E-2</v>
      </c>
      <c r="H34" s="299">
        <f t="shared" si="0"/>
        <v>-9.4005258607194071E-3</v>
      </c>
      <c r="I34" s="299">
        <f>(I33-H33)/H33</f>
        <v>2.7888318533522465E-2</v>
      </c>
      <c r="J34" s="299">
        <f>(J33-I33)/I33</f>
        <v>8.5650552116992029E-4</v>
      </c>
      <c r="K34" s="299">
        <f>(K33-J33)/J33</f>
        <v>-3.7728378699490978E-3</v>
      </c>
      <c r="L34"/>
    </row>
    <row r="35" spans="1:22">
      <c r="A35" s="671" t="s">
        <v>30</v>
      </c>
      <c r="B35" s="671"/>
      <c r="C35" s="610">
        <f>(K33-C33)/C33</f>
        <v>1.8328538606483608E-2</v>
      </c>
      <c r="D35" s="611"/>
      <c r="E35" s="611"/>
      <c r="F35" s="611"/>
      <c r="G35" s="611"/>
      <c r="H35" s="611"/>
      <c r="I35" s="611"/>
      <c r="J35" s="611"/>
      <c r="K35" s="612"/>
      <c r="L35"/>
    </row>
    <row r="36" spans="1:22">
      <c r="A36" s="674" t="s">
        <v>27</v>
      </c>
      <c r="B36" s="674"/>
      <c r="C36" s="300">
        <f>'LFR Data'!B15</f>
        <v>3447102.2536571412</v>
      </c>
      <c r="D36" s="300">
        <f>'LFR Data'!B16</f>
        <v>3572868.534914453</v>
      </c>
      <c r="E36" s="300">
        <f>'LFR Data'!B17</f>
        <v>3716888.2850383385</v>
      </c>
      <c r="F36" s="300">
        <f>'LFR Data'!B18</f>
        <v>3791310.4133617221</v>
      </c>
      <c r="G36" s="300">
        <f>'LFR Data'!B19</f>
        <v>3732201.1145146098</v>
      </c>
      <c r="H36" s="300">
        <f>'LFR Data'!B20</f>
        <v>3732142.2948174402</v>
      </c>
      <c r="I36" s="300">
        <f>'LFR Data'!B21</f>
        <v>3785476</v>
      </c>
      <c r="J36" s="300">
        <f>'LFR Data'!B22</f>
        <v>3776318.1622189092</v>
      </c>
      <c r="K36" s="300">
        <f>'LFR Data'!B23</f>
        <v>3808461.3492000001</v>
      </c>
      <c r="L36"/>
    </row>
    <row r="37" spans="1:22">
      <c r="A37" s="671" t="s">
        <v>29</v>
      </c>
      <c r="B37" s="671"/>
      <c r="C37" s="301" t="s">
        <v>24</v>
      </c>
      <c r="D37" s="299">
        <f t="shared" ref="D37:K37" si="1">(D36-C36)/C36</f>
        <v>3.6484638981591662E-2</v>
      </c>
      <c r="E37" s="299">
        <f t="shared" si="1"/>
        <v>4.0309277746020902E-2</v>
      </c>
      <c r="F37" s="299">
        <f t="shared" si="1"/>
        <v>2.0022697110095144E-2</v>
      </c>
      <c r="G37" s="299">
        <f t="shared" si="1"/>
        <v>-1.5590730486955995E-2</v>
      </c>
      <c r="H37" s="299">
        <f t="shared" si="1"/>
        <v>-1.5760055625308069E-5</v>
      </c>
      <c r="I37" s="299">
        <f t="shared" si="1"/>
        <v>1.4290372919762599E-2</v>
      </c>
      <c r="J37" s="299">
        <f t="shared" si="1"/>
        <v>-2.4192037622456871E-3</v>
      </c>
      <c r="K37" s="299">
        <f t="shared" si="1"/>
        <v>8.5117793576492354E-3</v>
      </c>
      <c r="L37"/>
    </row>
    <row r="38" spans="1:22">
      <c r="A38" s="671" t="s">
        <v>30</v>
      </c>
      <c r="B38" s="671"/>
      <c r="C38" s="610">
        <f>(K36-C36)/C36</f>
        <v>0.10482981616210583</v>
      </c>
      <c r="D38" s="611"/>
      <c r="E38" s="611"/>
      <c r="F38" s="611"/>
      <c r="G38" s="611"/>
      <c r="H38" s="611"/>
      <c r="I38" s="611"/>
      <c r="J38" s="611"/>
      <c r="K38" s="613"/>
      <c r="L38" s="297"/>
    </row>
    <row r="39" spans="1:22">
      <c r="A39" s="302"/>
      <c r="B39" s="302"/>
      <c r="C39" s="303"/>
      <c r="D39" s="304"/>
      <c r="E39" s="304"/>
      <c r="F39" s="304"/>
      <c r="G39" s="304"/>
      <c r="H39" s="304"/>
      <c r="I39" s="304"/>
      <c r="J39" s="304"/>
      <c r="K39" s="304"/>
      <c r="L39" s="297"/>
    </row>
    <row r="40" spans="1:22">
      <c r="A40" s="305"/>
      <c r="B40" s="305"/>
      <c r="C40" s="306"/>
      <c r="D40" s="306"/>
      <c r="E40" s="306"/>
      <c r="F40" s="306"/>
      <c r="G40" s="306"/>
      <c r="H40" s="307"/>
      <c r="I40" s="307"/>
      <c r="J40" s="307"/>
      <c r="K40" s="307"/>
      <c r="L40" s="297"/>
    </row>
    <row r="41" spans="1:22" ht="38.25" customHeight="1">
      <c r="A41" s="679" t="str">
        <f>"As can be seen from the above, the gross spend on Social Work Services in "&amp;C5&amp;" has moved by "&amp;ROUND(C35,2)*100&amp;"%"&amp;" over this period, at a time when the total spend across Scotland has moved by "&amp;ROUND(C38,2)*100&amp;"%.  The annual movements are shown at " &amp; LEFT($A$45,8) &amp; "."</f>
        <v>As can be seen from the above, the gross spend on Social Work Services in Aberdeen City has moved by 2% over this period, at a time when the total spend across Scotland has moved by 10%.  The annual movements are shown at Figure 2.</v>
      </c>
      <c r="B41" s="679"/>
      <c r="C41" s="679"/>
      <c r="D41" s="679"/>
      <c r="E41" s="679"/>
      <c r="F41" s="679"/>
      <c r="G41" s="679"/>
      <c r="H41" s="679"/>
      <c r="I41" s="679"/>
      <c r="J41" s="460"/>
      <c r="K41" s="580"/>
      <c r="L41" s="297"/>
      <c r="M41" s="111"/>
      <c r="N41" s="111"/>
      <c r="O41" s="111"/>
      <c r="P41" s="111"/>
      <c r="Q41" s="111"/>
      <c r="R41" s="111"/>
      <c r="S41" s="111"/>
      <c r="T41" s="111"/>
      <c r="U41" s="111"/>
      <c r="V41" s="111"/>
    </row>
    <row r="42" spans="1:22" ht="11.25" customHeight="1">
      <c r="A42" s="308"/>
      <c r="B42" s="308"/>
      <c r="C42" s="308"/>
      <c r="D42" s="308"/>
      <c r="E42" s="308"/>
      <c r="F42" s="308"/>
      <c r="G42" s="308"/>
      <c r="H42" s="308"/>
      <c r="I42" s="308"/>
      <c r="J42" s="460"/>
      <c r="K42" s="580"/>
      <c r="L42" s="297"/>
      <c r="M42" s="111"/>
      <c r="N42" s="111"/>
      <c r="O42" s="111"/>
      <c r="P42" s="111"/>
      <c r="Q42" s="111"/>
      <c r="R42" s="111"/>
      <c r="S42" s="111"/>
      <c r="T42" s="111"/>
      <c r="U42" s="111"/>
      <c r="V42" s="111"/>
    </row>
    <row r="43" spans="1:22" ht="11.25" customHeight="1">
      <c r="A43" s="308"/>
      <c r="B43" s="308"/>
      <c r="C43" s="308"/>
      <c r="D43" s="308"/>
      <c r="E43" s="308"/>
      <c r="F43" s="308"/>
      <c r="G43" s="308"/>
      <c r="H43" s="308"/>
      <c r="I43" s="308"/>
      <c r="J43" s="460"/>
      <c r="K43" s="580"/>
      <c r="L43" s="309"/>
      <c r="M43" s="111"/>
      <c r="N43" s="111"/>
      <c r="O43" s="111"/>
      <c r="P43" s="111"/>
      <c r="Q43" s="111"/>
      <c r="R43" s="111"/>
      <c r="S43" s="111"/>
      <c r="T43" s="111"/>
      <c r="U43" s="111"/>
      <c r="V43" s="111"/>
    </row>
    <row r="44" spans="1:22" ht="11.25" customHeight="1">
      <c r="A44" s="308"/>
      <c r="B44" s="308"/>
      <c r="C44" s="308"/>
      <c r="D44" s="308"/>
      <c r="E44" s="308"/>
      <c r="F44" s="308"/>
      <c r="G44" s="308"/>
      <c r="H44" s="308"/>
      <c r="I44" s="308"/>
      <c r="J44" s="460"/>
      <c r="K44" s="580"/>
      <c r="L44" s="309"/>
      <c r="M44" s="111"/>
      <c r="N44" s="111"/>
      <c r="O44" s="111"/>
      <c r="P44" s="111"/>
      <c r="Q44" s="111"/>
      <c r="R44" s="111"/>
      <c r="S44" s="111"/>
      <c r="T44" s="111"/>
      <c r="U44" s="111"/>
      <c r="V44" s="111"/>
    </row>
    <row r="45" spans="1:22">
      <c r="A45" s="293" t="str">
        <f>"Figure " &amp; $L$45 &amp; " - " &amp; $C$5 &amp;" and Scotland total social work expenditure"</f>
        <v>Figure 2 - Aberdeen City and Scotland total social work expenditure</v>
      </c>
      <c r="B45" s="305"/>
      <c r="C45" s="306"/>
      <c r="D45" s="306"/>
      <c r="E45" s="306"/>
      <c r="F45" s="306"/>
      <c r="G45" s="306"/>
      <c r="H45" s="307"/>
      <c r="I45" s="307"/>
      <c r="J45" s="307"/>
      <c r="K45" s="307"/>
      <c r="L45" s="310">
        <f>L31+1</f>
        <v>2</v>
      </c>
    </row>
    <row r="46" spans="1:22">
      <c r="H46" s="285"/>
      <c r="I46" s="285"/>
      <c r="J46" s="285"/>
      <c r="K46" s="285"/>
    </row>
    <row r="47" spans="1:22">
      <c r="H47" s="285"/>
      <c r="I47" s="285"/>
      <c r="J47" s="285"/>
      <c r="K47" s="285"/>
    </row>
    <row r="48" spans="1:22">
      <c r="H48" s="285"/>
      <c r="I48" s="285"/>
      <c r="J48" s="285"/>
      <c r="K48" s="285"/>
    </row>
    <row r="49" spans="8:23" ht="25.5">
      <c r="H49" s="285"/>
      <c r="I49" s="285"/>
      <c r="J49" s="285"/>
      <c r="K49" s="285"/>
      <c r="M49" s="106"/>
      <c r="N49" s="91"/>
      <c r="O49" s="10" t="s">
        <v>385</v>
      </c>
      <c r="P49" s="10" t="s">
        <v>1</v>
      </c>
      <c r="Q49" s="10" t="s">
        <v>28</v>
      </c>
      <c r="R49" s="10" t="s">
        <v>65</v>
      </c>
      <c r="S49" s="10" t="s">
        <v>267</v>
      </c>
      <c r="T49" s="10" t="s">
        <v>315</v>
      </c>
      <c r="U49" s="10" t="s">
        <v>322</v>
      </c>
      <c r="V49" s="10" t="s">
        <v>369</v>
      </c>
      <c r="W49" s="10" t="s">
        <v>382</v>
      </c>
    </row>
    <row r="50" spans="8:23">
      <c r="H50" s="285"/>
      <c r="I50" s="285"/>
      <c r="J50" s="285"/>
      <c r="K50" s="285"/>
      <c r="M50" s="629" t="str">
        <f>C5</f>
        <v>Aberdeen City</v>
      </c>
      <c r="N50" s="629"/>
      <c r="O50" s="109">
        <f t="shared" ref="O50:W50" si="2">(C33/$C$33)-1</f>
        <v>0</v>
      </c>
      <c r="P50" s="109">
        <f t="shared" si="2"/>
        <v>-3.6978894665442574E-3</v>
      </c>
      <c r="Q50" s="109">
        <f t="shared" si="2"/>
        <v>7.3644771626759642E-3</v>
      </c>
      <c r="R50" s="109">
        <f t="shared" si="2"/>
        <v>-9.341481918476946E-3</v>
      </c>
      <c r="S50" s="109">
        <f t="shared" si="2"/>
        <v>3.0294773093593186E-3</v>
      </c>
      <c r="T50" s="109">
        <f t="shared" si="2"/>
        <v>-6.3995272311512252E-3</v>
      </c>
      <c r="U50" s="109">
        <f t="shared" si="2"/>
        <v>2.1310319248484921E-2</v>
      </c>
      <c r="V50" s="109">
        <f t="shared" si="2"/>
        <v>2.2185077175749024E-2</v>
      </c>
      <c r="W50" s="109">
        <f t="shared" si="2"/>
        <v>1.8328538606483535E-2</v>
      </c>
    </row>
    <row r="51" spans="8:23">
      <c r="H51" s="285"/>
      <c r="I51" s="285"/>
      <c r="J51" s="285"/>
      <c r="K51" s="285"/>
      <c r="M51" s="629" t="s">
        <v>5</v>
      </c>
      <c r="N51" s="629"/>
      <c r="O51" s="109">
        <f t="shared" ref="O51:W51" si="3">(C36/$C$36)-1</f>
        <v>0</v>
      </c>
      <c r="P51" s="109">
        <f t="shared" si="3"/>
        <v>3.6484638981591599E-2</v>
      </c>
      <c r="Q51" s="109">
        <f t="shared" si="3"/>
        <v>7.8264586173784734E-2</v>
      </c>
      <c r="R51" s="109">
        <f t="shared" si="3"/>
        <v>9.9854351387284712E-2</v>
      </c>
      <c r="S51" s="109">
        <f t="shared" si="3"/>
        <v>8.2706818619899591E-2</v>
      </c>
      <c r="T51" s="109">
        <f t="shared" si="3"/>
        <v>8.268975510021237E-2</v>
      </c>
      <c r="U51" s="109">
        <f t="shared" si="3"/>
        <v>9.8161795457000878E-2</v>
      </c>
      <c r="V51" s="109">
        <f t="shared" si="3"/>
        <v>9.5505118309876735E-2</v>
      </c>
      <c r="W51" s="109">
        <f t="shared" si="3"/>
        <v>0.10482981616210574</v>
      </c>
    </row>
    <row r="52" spans="8:23">
      <c r="H52" s="285"/>
      <c r="I52" s="285"/>
      <c r="J52" s="285"/>
      <c r="K52" s="285"/>
    </row>
    <row r="53" spans="8:23">
      <c r="H53" s="285"/>
      <c r="I53" s="285"/>
      <c r="J53" s="285"/>
      <c r="K53" s="285"/>
    </row>
    <row r="54" spans="8:23">
      <c r="H54" s="285"/>
      <c r="I54" s="285"/>
      <c r="J54" s="285"/>
      <c r="K54" s="285"/>
    </row>
    <row r="55" spans="8:23">
      <c r="H55" s="285"/>
      <c r="I55" s="285"/>
      <c r="J55" s="285"/>
      <c r="K55" s="285"/>
    </row>
    <row r="56" spans="8:23">
      <c r="H56" s="285"/>
      <c r="I56" s="285"/>
      <c r="J56" s="285"/>
      <c r="K56" s="285"/>
    </row>
    <row r="57" spans="8:23">
      <c r="H57" s="285"/>
      <c r="I57" s="285"/>
      <c r="J57" s="285"/>
      <c r="K57" s="285"/>
    </row>
    <row r="58" spans="8:23">
      <c r="H58" s="285"/>
      <c r="I58" s="285"/>
      <c r="J58" s="285"/>
      <c r="K58" s="285"/>
    </row>
    <row r="59" spans="8:23">
      <c r="H59" s="285"/>
      <c r="I59" s="285"/>
      <c r="J59" s="285"/>
      <c r="K59" s="285"/>
    </row>
    <row r="60" spans="8:23">
      <c r="H60" s="285"/>
      <c r="I60" s="285"/>
      <c r="J60" s="285"/>
      <c r="K60" s="285"/>
    </row>
    <row r="61" spans="8:23">
      <c r="H61" s="285"/>
      <c r="I61" s="285"/>
      <c r="J61" s="285"/>
      <c r="K61" s="285"/>
    </row>
    <row r="62" spans="8:23">
      <c r="H62" s="285"/>
      <c r="I62" s="285"/>
      <c r="J62" s="285"/>
      <c r="K62" s="285"/>
    </row>
    <row r="66" spans="1:12">
      <c r="A66" s="617" t="s">
        <v>6</v>
      </c>
      <c r="B66" s="617"/>
      <c r="C66" s="617"/>
      <c r="D66" s="617"/>
      <c r="E66" s="617"/>
      <c r="F66" s="617"/>
      <c r="G66" s="617"/>
      <c r="H66" s="617"/>
      <c r="I66" s="311"/>
      <c r="J66" s="459"/>
      <c r="K66" s="579"/>
    </row>
    <row r="67" spans="1:12" ht="36" customHeight="1">
      <c r="A67" s="617" t="s">
        <v>215</v>
      </c>
      <c r="B67" s="617"/>
      <c r="C67" s="617"/>
      <c r="D67" s="617"/>
      <c r="E67" s="617"/>
      <c r="F67" s="617"/>
      <c r="G67" s="617"/>
      <c r="H67" s="617"/>
      <c r="I67" s="617"/>
      <c r="J67" s="459"/>
      <c r="K67" s="579"/>
    </row>
    <row r="68" spans="1:12" ht="36" customHeight="1">
      <c r="A68" s="617" t="s">
        <v>397</v>
      </c>
      <c r="B68" s="692"/>
      <c r="C68" s="692"/>
      <c r="D68" s="692"/>
      <c r="E68" s="692"/>
      <c r="F68" s="692"/>
      <c r="G68" s="692"/>
      <c r="H68" s="692"/>
      <c r="I68" s="692"/>
      <c r="J68" s="609"/>
      <c r="K68" s="609"/>
    </row>
    <row r="69" spans="1:12" ht="32.25" customHeight="1">
      <c r="A69" s="617" t="s">
        <v>214</v>
      </c>
      <c r="B69" s="617"/>
      <c r="C69" s="617"/>
      <c r="D69" s="617"/>
      <c r="E69" s="617"/>
      <c r="F69" s="617"/>
      <c r="G69" s="617"/>
      <c r="H69" s="617"/>
      <c r="I69" s="617"/>
      <c r="J69" s="459"/>
      <c r="K69" s="579"/>
    </row>
    <row r="70" spans="1:12" ht="18.75">
      <c r="A70" s="659" t="s">
        <v>75</v>
      </c>
      <c r="B70" s="659"/>
      <c r="C70" s="659"/>
      <c r="D70" s="659"/>
      <c r="E70" s="659"/>
      <c r="F70" s="659"/>
      <c r="G70" s="659"/>
      <c r="H70" s="659"/>
      <c r="I70" s="290"/>
      <c r="J70" s="457"/>
      <c r="K70" s="577"/>
      <c r="L70" s="297"/>
    </row>
    <row r="71" spans="1:12">
      <c r="A71" s="305"/>
      <c r="B71" s="305"/>
      <c r="C71" s="306"/>
      <c r="D71" s="306"/>
      <c r="E71" s="306"/>
      <c r="F71" s="306"/>
      <c r="G71" s="306"/>
      <c r="H71" s="307"/>
      <c r="I71" s="307"/>
      <c r="J71" s="307"/>
      <c r="K71" s="307"/>
      <c r="L71" s="297"/>
    </row>
    <row r="72" spans="1:12">
      <c r="A72" s="656" t="str">
        <f>$C$5 &amp; "'s spend shown in Figure 1 above can be further analysed as follows:"</f>
        <v>Aberdeen City's spend shown in Figure 1 above can be further analysed as follows:</v>
      </c>
      <c r="B72" s="656"/>
      <c r="C72" s="656"/>
      <c r="D72" s="656"/>
      <c r="E72" s="656"/>
      <c r="F72" s="656"/>
      <c r="G72" s="656"/>
      <c r="H72" s="656"/>
      <c r="I72" s="291"/>
      <c r="J72" s="458"/>
      <c r="K72" s="578"/>
      <c r="L72" s="297"/>
    </row>
    <row r="73" spans="1:12">
      <c r="A73" s="312"/>
      <c r="B73" s="312"/>
      <c r="C73" s="312"/>
      <c r="D73" s="312"/>
      <c r="E73" s="312"/>
      <c r="F73" s="312"/>
      <c r="G73" s="312"/>
      <c r="H73" s="291"/>
      <c r="I73" s="291"/>
      <c r="J73" s="458"/>
      <c r="K73" s="578"/>
      <c r="L73" s="297"/>
    </row>
    <row r="74" spans="1:12">
      <c r="A74" s="293" t="str">
        <f>"Figure " &amp; $L$74</f>
        <v>Figure 3</v>
      </c>
      <c r="B74" s="312"/>
      <c r="C74" s="677" t="s">
        <v>137</v>
      </c>
      <c r="D74" s="678"/>
      <c r="E74" s="678"/>
      <c r="F74" s="678"/>
      <c r="G74" s="678"/>
      <c r="H74" s="678"/>
      <c r="I74" s="678"/>
      <c r="J74" s="678"/>
      <c r="K74" s="592"/>
      <c r="L74" s="310">
        <f>$L$45+1</f>
        <v>3</v>
      </c>
    </row>
    <row r="75" spans="1:12">
      <c r="A75" s="305"/>
      <c r="B75" s="305"/>
      <c r="C75" s="295" t="s">
        <v>0</v>
      </c>
      <c r="D75" s="295" t="s">
        <v>1</v>
      </c>
      <c r="E75" s="295" t="s">
        <v>28</v>
      </c>
      <c r="F75" s="295" t="s">
        <v>65</v>
      </c>
      <c r="G75" s="295" t="s">
        <v>267</v>
      </c>
      <c r="H75" s="295" t="s">
        <v>315</v>
      </c>
      <c r="I75" s="295" t="s">
        <v>322</v>
      </c>
      <c r="J75" s="295" t="s">
        <v>369</v>
      </c>
      <c r="K75" s="295" t="s">
        <v>382</v>
      </c>
      <c r="L75" s="20"/>
    </row>
    <row r="76" spans="1:12">
      <c r="A76" s="630" t="s">
        <v>76</v>
      </c>
      <c r="B76" s="631"/>
      <c r="C76" s="314">
        <f>'LFR Data'!$B3</f>
        <v>161283.00761829823</v>
      </c>
      <c r="D76" s="314">
        <f>'LFR Data'!$B4</f>
        <v>160686.60088329396</v>
      </c>
      <c r="E76" s="314">
        <f>'LFR Data'!$B5</f>
        <v>162470.7726446309</v>
      </c>
      <c r="F76" s="314">
        <f>'LFR Data'!$B6</f>
        <v>159776.38531887432</v>
      </c>
      <c r="G76" s="314">
        <f>'LFR Data'!$B7</f>
        <v>161771.61083026309</v>
      </c>
      <c r="H76" s="314">
        <f>'LFR Data'!$B8</f>
        <v>160250.87261912297</v>
      </c>
      <c r="I76" s="314">
        <f>'LFR Data'!$B9</f>
        <v>164720</v>
      </c>
      <c r="J76" s="314">
        <f>'LFR Data'!$B10</f>
        <v>164861.08358944711</v>
      </c>
      <c r="K76" s="314">
        <f>'LFR Data'!$B11</f>
        <v>164239.08945</v>
      </c>
      <c r="L76" s="20"/>
    </row>
    <row r="77" spans="1:12">
      <c r="A77" s="630" t="s">
        <v>13</v>
      </c>
      <c r="B77" s="631"/>
      <c r="C77" s="314">
        <f>'LFR Data'!$F3</f>
        <v>34117.780678851181</v>
      </c>
      <c r="D77" s="314">
        <f>'LFR Data'!$F4</f>
        <v>34978.634719710673</v>
      </c>
      <c r="E77" s="314">
        <f>'LFR Data'!$F5</f>
        <v>38266.323275326642</v>
      </c>
      <c r="F77" s="314">
        <f>'LFR Data'!$F6</f>
        <v>37541.059494522713</v>
      </c>
      <c r="G77" s="314">
        <f>'LFR Data'!$F7</f>
        <v>35811.017639876627</v>
      </c>
      <c r="H77" s="314">
        <f>'LFR Data'!$F8</f>
        <v>36863.158893880915</v>
      </c>
      <c r="I77" s="314">
        <f>'LFR Data'!$F9</f>
        <v>35599</v>
      </c>
      <c r="J77" s="314">
        <f>'LFR Data'!$F10</f>
        <v>37356.067766180815</v>
      </c>
      <c r="K77" s="314">
        <f>'LFR Data'!$F11</f>
        <v>37343.611799999999</v>
      </c>
      <c r="L77" s="20"/>
    </row>
    <row r="78" spans="1:12">
      <c r="A78" s="630" t="s">
        <v>77</v>
      </c>
      <c r="B78" s="631"/>
      <c r="C78" s="314">
        <f>'LFR Data'!$H3+'LFR Data'!$J3+'LFR Data'!$K3+'LFR Data'!$L3+'LFR Data'!$M3+'LFR Data'!$O3+'LFR Data'!$Q3</f>
        <v>126375.53810937445</v>
      </c>
      <c r="D78" s="314">
        <f>'LFR Data'!$H4+'LFR Data'!$J4+'LFR Data'!$K4+'LFR Data'!$L4+'LFR Data'!$M4+'LFR Data'!$O4+'LFR Data'!$Q4</f>
        <v>124911.06395187092</v>
      </c>
      <c r="E78" s="314">
        <f>'LFR Data'!$H5+'LFR Data'!$J5+'LFR Data'!$K5+'LFR Data'!$L5+'LFR Data'!$M5+'LFR Data'!$O5+'LFR Data'!$Q5</f>
        <v>123467.36333043489</v>
      </c>
      <c r="F78" s="314">
        <f>'LFR Data'!$H6+'LFR Data'!$J6+'LFR Data'!$K6+'LFR Data'!$L6+'LFR Data'!$M6+'LFR Data'!$O6+'LFR Data'!$Q6</f>
        <v>121502.48480368906</v>
      </c>
      <c r="G78" s="314">
        <f>'LFR Data'!$H7+'LFR Data'!$J7+'LFR Data'!$K7+'LFR Data'!$L7+'LFR Data'!$M7+'LFR Data'!$O7+'LFR Data'!$Q7</f>
        <v>125235.66543141122</v>
      </c>
      <c r="H78" s="314">
        <f>'LFR Data'!$H8+'LFR Data'!$J8+'LFR Data'!$K8+'LFR Data'!$L8+'LFR Data'!$M8+'LFR Data'!$O8+'LFR Data'!$Q8</f>
        <v>122651.4688666709</v>
      </c>
      <c r="I78" s="314">
        <f>'LFR Data'!$H9+'LFR Data'!$J9+'LFR Data'!$K9+'LFR Data'!$L9+'LFR Data'!$M9+'LFR Data'!$O9+'LFR Data'!$Q9</f>
        <v>128268</v>
      </c>
      <c r="J78" s="314">
        <f>'LFR Data'!$H10+'LFR Data'!$J10+'LFR Data'!$K10+'LFR Data'!$L10+'LFR Data'!$M10+'LFR Data'!$O10+'LFR Data'!$Q10</f>
        <v>126715.64449380766</v>
      </c>
      <c r="K78" s="314">
        <f>'LFR Data'!$H11+'LFR Data'!$J11+'LFR Data'!$K11+'LFR Data'!$L11+'LFR Data'!$M11+'LFR Data'!$O11+'LFR Data'!$Q11</f>
        <v>125943.44535000002</v>
      </c>
      <c r="L78" s="20"/>
    </row>
    <row r="79" spans="1:12">
      <c r="A79" s="632" t="s">
        <v>78</v>
      </c>
      <c r="B79" s="633"/>
      <c r="C79" s="300">
        <f>'LFR Data'!$H3</f>
        <v>64542.672484709758</v>
      </c>
      <c r="D79" s="300">
        <f>'LFR Data'!$H4</f>
        <v>65084.078105438872</v>
      </c>
      <c r="E79" s="300">
        <f>'LFR Data'!$H5</f>
        <v>64043.617720461196</v>
      </c>
      <c r="F79" s="300">
        <f>'LFR Data'!$H6</f>
        <v>64154.479409136547</v>
      </c>
      <c r="G79" s="300">
        <f>'LFR Data'!$H7</f>
        <v>65997.381811755651</v>
      </c>
      <c r="H79" s="300">
        <f>'LFR Data'!$H8</f>
        <v>65756.950895399612</v>
      </c>
      <c r="I79" s="300">
        <f>'LFR Data'!$H9</f>
        <v>70411</v>
      </c>
      <c r="J79" s="300">
        <f>'LFR Data'!$H10</f>
        <v>69399.059276389875</v>
      </c>
      <c r="K79" s="300">
        <f>'LFR Data'!$H11</f>
        <v>67728.504750000007</v>
      </c>
      <c r="L79" s="20"/>
    </row>
    <row r="80" spans="1:12">
      <c r="A80" s="632" t="s">
        <v>79</v>
      </c>
      <c r="B80" s="633"/>
      <c r="C80" s="300">
        <f>'LFR Data'!$K3</f>
        <v>30851.968418040706</v>
      </c>
      <c r="D80" s="300">
        <f>'LFR Data'!$K4</f>
        <v>29925.244992349428</v>
      </c>
      <c r="E80" s="300">
        <f>'LFR Data'!$K5</f>
        <v>29698.24325545154</v>
      </c>
      <c r="F80" s="300">
        <f>'LFR Data'!$K6</f>
        <v>29798.295861970062</v>
      </c>
      <c r="G80" s="300">
        <f>'LFR Data'!$K7</f>
        <v>31560.727926056046</v>
      </c>
      <c r="H80" s="300">
        <f>'LFR Data'!$K8</f>
        <v>31711.481522495731</v>
      </c>
      <c r="I80" s="300">
        <f>'LFR Data'!$K9</f>
        <v>30479</v>
      </c>
      <c r="J80" s="300">
        <f>'LFR Data'!$K10</f>
        <v>29705.237957581478</v>
      </c>
      <c r="K80" s="300">
        <f>'LFR Data'!$K11</f>
        <v>30420.618300000002</v>
      </c>
      <c r="L80" s="20"/>
    </row>
    <row r="81" spans="1:23">
      <c r="A81" s="315" t="s">
        <v>220</v>
      </c>
      <c r="B81" s="316"/>
      <c r="C81" s="300">
        <f>'LFR Data'!$L3</f>
        <v>10695.333702922137</v>
      </c>
      <c r="D81" s="300">
        <f>'LFR Data'!$L4</f>
        <v>10722.364028376689</v>
      </c>
      <c r="E81" s="300">
        <f>'LFR Data'!$L5</f>
        <v>10399.891477420302</v>
      </c>
      <c r="F81" s="300">
        <f>'LFR Data'!$L6</f>
        <v>9305.3766809712415</v>
      </c>
      <c r="G81" s="300">
        <f>'LFR Data'!$L7</f>
        <v>9869.7725130665785</v>
      </c>
      <c r="H81" s="300">
        <f>'LFR Data'!$L8</f>
        <v>9159.7821616148849</v>
      </c>
      <c r="I81" s="300">
        <f>'LFR Data'!$L9</f>
        <v>8623</v>
      </c>
      <c r="J81" s="300">
        <f>'LFR Data'!$L10</f>
        <v>8172.8334296929688</v>
      </c>
      <c r="K81" s="300">
        <f>'LFR Data'!$L11</f>
        <v>8587.6017000000011</v>
      </c>
      <c r="L81" s="20"/>
    </row>
    <row r="82" spans="1:23">
      <c r="A82" s="315" t="s">
        <v>354</v>
      </c>
      <c r="B82" s="316"/>
      <c r="C82" s="300">
        <f>'LFR Data'!$M3</f>
        <v>3576.6227332880294</v>
      </c>
      <c r="D82" s="300">
        <f>'LFR Data'!$M4</f>
        <v>3344.3031019613304</v>
      </c>
      <c r="E82" s="300">
        <f>'LFR Data'!$M5</f>
        <v>2711.7351755445893</v>
      </c>
      <c r="F82" s="300">
        <f>'LFR Data'!$M6</f>
        <v>2381.7333171533533</v>
      </c>
      <c r="G82" s="300">
        <f>'LFR Data'!$M7</f>
        <v>2271.991849455917</v>
      </c>
      <c r="H82" s="300">
        <f>'LFR Data'!$M8</f>
        <v>2302.4199519078661</v>
      </c>
      <c r="I82" s="300">
        <f>'LFR Data'!$M9</f>
        <v>2345</v>
      </c>
      <c r="J82" s="300">
        <f>'LFR Data'!$M10</f>
        <v>2591.4100964610661</v>
      </c>
      <c r="K82" s="300">
        <f>'LFR Data'!$M11</f>
        <v>2562.5697</v>
      </c>
      <c r="L82" s="20"/>
    </row>
    <row r="83" spans="1:23">
      <c r="A83" s="632" t="s">
        <v>355</v>
      </c>
      <c r="B83" s="633"/>
      <c r="C83" s="300">
        <f>'LFR Data'!$J3+'LFR Data'!$O3+'LFR Data'!$Q3</f>
        <v>16708.940770413821</v>
      </c>
      <c r="D83" s="300">
        <f>'LFR Data'!$J4+'LFR Data'!$O4+'LFR Data'!$Q4</f>
        <v>15835.073723744612</v>
      </c>
      <c r="E83" s="300">
        <f>'LFR Data'!$J5+'LFR Data'!$O5+'LFR Data'!$Q5</f>
        <v>16613.875701557259</v>
      </c>
      <c r="F83" s="300">
        <f>'LFR Data'!$J6+'LFR Data'!$O6+'LFR Data'!$Q6</f>
        <v>15862.599534457844</v>
      </c>
      <c r="G83" s="300">
        <f>'LFR Data'!$J7+'LFR Data'!$O7+'LFR Data'!$Q7</f>
        <v>15535.791331077033</v>
      </c>
      <c r="H83" s="300">
        <f>'LFR Data'!$J8+'LFR Data'!$O8+'LFR Data'!$Q8</f>
        <v>13720.834335252803</v>
      </c>
      <c r="I83" s="300">
        <f>'LFR Data'!$J9+'LFR Data'!$O9+'LFR Data'!$Q9</f>
        <v>16410</v>
      </c>
      <c r="J83" s="300">
        <f>'LFR Data'!$J10+'LFR Data'!$Q10</f>
        <v>16847.103733682259</v>
      </c>
      <c r="K83" s="300">
        <f>'LFR Data'!$J11+'LFR Data'!$Q11</f>
        <v>16644.150900000001</v>
      </c>
      <c r="L83" s="20" t="str">
        <f>IF(SUM(K83+K82+K81+K80+K79)=K78," ","Error")</f>
        <v xml:space="preserve"> </v>
      </c>
    </row>
    <row r="84" spans="1:23">
      <c r="A84" s="630" t="s">
        <v>81</v>
      </c>
      <c r="B84" s="631"/>
      <c r="C84" s="314">
        <f>'LFR Data'!$C3+'LFR Data'!$E3+'LFR Data'!$P3</f>
        <v>789.68883007260638</v>
      </c>
      <c r="D84" s="314">
        <f>'LFR Data'!$C4+'LFR Data'!$E4+'LFR Data'!$P4</f>
        <v>796.9022117123385</v>
      </c>
      <c r="E84" s="314">
        <f>'LFR Data'!$C5+'LFR Data'!$E5+'LFR Data'!$P5</f>
        <v>737.08603886937772</v>
      </c>
      <c r="F84" s="314">
        <f>'LFR Data'!$C6+'LFR Data'!$E6+'LFR Data'!$P6</f>
        <v>732.84102066257026</v>
      </c>
      <c r="G84" s="314">
        <f>'LFR Data'!$C7+'LFR Data'!$E7+'LFR Data'!$P7</f>
        <v>724.92775897523791</v>
      </c>
      <c r="H84" s="314">
        <f>'LFR Data'!$C8+'LFR Data'!$E8+'LFR Data'!$P8</f>
        <v>736.24485857115747</v>
      </c>
      <c r="I84" s="314">
        <f>'LFR Data'!$C9+'LFR Data'!$E9+'LFR Data'!$P9</f>
        <v>853</v>
      </c>
      <c r="J84" s="314">
        <f>'LFR Data'!$C10+'LFR Data'!$E10+'LFR Data'!$P10</f>
        <v>789.37132945866188</v>
      </c>
      <c r="K84" s="314">
        <f>'LFR Data'!$C11+'LFR Data'!$E11+'LFR Data'!$P11</f>
        <v>952.03230000000008</v>
      </c>
      <c r="L84" s="20"/>
    </row>
    <row r="85" spans="1:23">
      <c r="A85" s="632" t="s">
        <v>82</v>
      </c>
      <c r="B85" s="633"/>
      <c r="C85" s="300">
        <f>'LFR Data'!$C3</f>
        <v>778.17733109195615</v>
      </c>
      <c r="D85" s="300">
        <f>'LFR Data'!$C4</f>
        <v>776.75580748365576</v>
      </c>
      <c r="E85" s="300">
        <f>'LFR Data'!$C5</f>
        <v>734.90531094372864</v>
      </c>
      <c r="F85" s="300">
        <f>'LFR Data'!$C6</f>
        <v>732.84102066257026</v>
      </c>
      <c r="G85" s="300">
        <f>'LFR Data'!$C7</f>
        <v>724.92775897523791</v>
      </c>
      <c r="H85" s="300">
        <f>'LFR Data'!$C8</f>
        <v>736.24485857115747</v>
      </c>
      <c r="I85" s="300">
        <f>'LFR Data'!$C9</f>
        <v>737</v>
      </c>
      <c r="J85" s="300">
        <f>'LFR Data'!$C10</f>
        <v>729.62982685695169</v>
      </c>
      <c r="K85" s="300">
        <f>'LFR Data'!$C11</f>
        <v>902.78925000000004</v>
      </c>
      <c r="L85" s="20"/>
    </row>
    <row r="86" spans="1:23">
      <c r="A86" s="632" t="s">
        <v>83</v>
      </c>
      <c r="B86" s="633"/>
      <c r="C86" s="300">
        <f>'LFR Data'!$E3</f>
        <v>0</v>
      </c>
      <c r="D86" s="300">
        <f>'LFR Data'!$E4</f>
        <v>0</v>
      </c>
      <c r="E86" s="300">
        <f>'LFR Data'!$E5</f>
        <v>0</v>
      </c>
      <c r="F86" s="300">
        <f>'LFR Data'!$E6</f>
        <v>0</v>
      </c>
      <c r="G86" s="300">
        <f>'LFR Data'!$E7</f>
        <v>0</v>
      </c>
      <c r="H86" s="300">
        <f>'LFR Data'!$E8</f>
        <v>0</v>
      </c>
      <c r="I86" s="300">
        <f>'LFR Data'!$E9</f>
        <v>116</v>
      </c>
      <c r="J86" s="300">
        <f>'LFR Data'!$E10</f>
        <v>59.741502601710138</v>
      </c>
      <c r="K86" s="300">
        <f>'LFR Data'!$E11</f>
        <v>49.243050000000004</v>
      </c>
      <c r="L86" s="20"/>
    </row>
    <row r="87" spans="1:23">
      <c r="A87" s="632" t="s">
        <v>84</v>
      </c>
      <c r="B87" s="633"/>
      <c r="C87" s="300">
        <f>'LFR Data'!$P3</f>
        <v>11.511498980650238</v>
      </c>
      <c r="D87" s="300">
        <f>'LFR Data'!$P4</f>
        <v>20.146404228682712</v>
      </c>
      <c r="E87" s="300">
        <f>'LFR Data'!$P5</f>
        <v>2.1807279256490464</v>
      </c>
      <c r="F87" s="300">
        <f>'LFR Data'!$P6</f>
        <v>0</v>
      </c>
      <c r="G87" s="300">
        <f>'LFR Data'!$P7</f>
        <v>0</v>
      </c>
      <c r="H87" s="300">
        <f>'LFR Data'!$P8</f>
        <v>0</v>
      </c>
      <c r="I87" s="300">
        <f>'LFR Data'!$P9</f>
        <v>0</v>
      </c>
      <c r="J87" s="300">
        <f>'LFR Data'!$P10</f>
        <v>0</v>
      </c>
      <c r="K87" s="300">
        <f>'LFR Data'!$P11</f>
        <v>0</v>
      </c>
      <c r="L87" s="20" t="str">
        <f>IF(SUM(H87+H86+H85)=H84," ","Error")</f>
        <v xml:space="preserve"> </v>
      </c>
    </row>
    <row r="88" spans="1:23">
      <c r="A88" s="506" t="s">
        <v>356</v>
      </c>
      <c r="B88" s="317"/>
      <c r="C88" s="318"/>
      <c r="D88" s="318"/>
      <c r="E88" s="318"/>
      <c r="F88" s="318"/>
      <c r="G88" s="318"/>
      <c r="H88" s="318"/>
      <c r="I88" s="318"/>
      <c r="J88" s="318"/>
      <c r="K88" s="318"/>
      <c r="L88" s="313"/>
      <c r="M88" s="20"/>
    </row>
    <row r="89" spans="1:23">
      <c r="A89" s="305"/>
      <c r="B89" s="305"/>
      <c r="C89" s="306"/>
      <c r="D89" s="306"/>
      <c r="E89" s="306"/>
      <c r="F89" s="306"/>
      <c r="G89" s="306"/>
      <c r="H89" s="307"/>
      <c r="I89" s="307"/>
      <c r="J89" s="307"/>
      <c r="K89" s="307"/>
      <c r="L89" s="297"/>
    </row>
    <row r="90" spans="1:23" ht="30.75" customHeight="1">
      <c r="A90" s="634" t="str">
        <f>"Nationally, we have observed a shift in spend from older people's services to childrens services over the period from 2006/07 to 2014/15.  The position in "&amp;C5&amp;" is shown below."</f>
        <v>Nationally, we have observed a shift in spend from older people's services to childrens services over the period from 2006/07 to 2014/15.  The position in Aberdeen City is shown below.</v>
      </c>
      <c r="B90" s="634"/>
      <c r="C90" s="634"/>
      <c r="D90" s="634"/>
      <c r="E90" s="634"/>
      <c r="F90" s="634"/>
      <c r="G90" s="634"/>
      <c r="H90" s="634"/>
      <c r="I90" s="634"/>
      <c r="J90" s="465"/>
      <c r="K90" s="585"/>
    </row>
    <row r="91" spans="1:23" ht="12.75" customHeight="1">
      <c r="A91" s="319"/>
      <c r="B91" s="319"/>
      <c r="C91" s="319"/>
      <c r="D91" s="319"/>
      <c r="E91" s="319"/>
      <c r="F91" s="319"/>
      <c r="G91" s="319"/>
      <c r="H91" s="319"/>
      <c r="I91" s="319"/>
      <c r="J91" s="465"/>
      <c r="K91" s="585"/>
    </row>
    <row r="92" spans="1:23" ht="12.75" customHeight="1">
      <c r="A92" s="305"/>
      <c r="B92" s="305"/>
      <c r="C92" s="306"/>
      <c r="D92" s="306"/>
      <c r="E92" s="306"/>
      <c r="F92" s="306"/>
      <c r="G92" s="306"/>
      <c r="H92" s="307"/>
      <c r="I92" s="307"/>
      <c r="J92" s="307"/>
      <c r="K92" s="307"/>
      <c r="L92" s="297"/>
    </row>
    <row r="93" spans="1:23">
      <c r="A93" s="293" t="str">
        <f>"Figure " &amp; $L$93</f>
        <v>Figure 4</v>
      </c>
      <c r="B93" s="305"/>
      <c r="C93" s="306"/>
      <c r="D93" s="306"/>
      <c r="E93" s="306"/>
      <c r="F93" s="306"/>
      <c r="G93" s="306"/>
      <c r="H93" s="307"/>
      <c r="I93" s="307"/>
      <c r="J93" s="307"/>
      <c r="K93" s="307"/>
      <c r="L93" s="320">
        <f>$L$74+1</f>
        <v>4</v>
      </c>
      <c r="O93" s="675" t="s">
        <v>5</v>
      </c>
      <c r="P93" s="676"/>
      <c r="Q93" s="676"/>
      <c r="R93" s="676"/>
      <c r="S93" s="676"/>
      <c r="T93" s="676"/>
      <c r="U93" s="676"/>
      <c r="V93" s="676"/>
    </row>
    <row r="94" spans="1:23" ht="12.75" customHeight="1">
      <c r="C94" s="660" t="str">
        <f>C5</f>
        <v>Aberdeen City</v>
      </c>
      <c r="D94" s="639"/>
      <c r="E94" s="640"/>
      <c r="F94" s="639" t="s">
        <v>5</v>
      </c>
      <c r="G94" s="639"/>
      <c r="H94" s="640"/>
      <c r="I94" s="321"/>
      <c r="J94" s="321"/>
      <c r="K94" s="321"/>
      <c r="M94" s="19"/>
      <c r="N94" s="19"/>
      <c r="O94" s="12" t="s">
        <v>0</v>
      </c>
      <c r="P94" s="12" t="s">
        <v>1</v>
      </c>
      <c r="Q94" s="12" t="s">
        <v>28</v>
      </c>
      <c r="R94" s="63" t="s">
        <v>65</v>
      </c>
      <c r="S94" s="63" t="s">
        <v>267</v>
      </c>
      <c r="T94" s="63" t="s">
        <v>315</v>
      </c>
      <c r="U94" s="63" t="s">
        <v>322</v>
      </c>
      <c r="V94" s="63" t="s">
        <v>369</v>
      </c>
      <c r="W94" s="63" t="s">
        <v>382</v>
      </c>
    </row>
    <row r="95" spans="1:23" ht="22.5" customHeight="1">
      <c r="C95" s="322" t="s">
        <v>0</v>
      </c>
      <c r="D95" s="323" t="s">
        <v>382</v>
      </c>
      <c r="E95" s="324" t="s">
        <v>148</v>
      </c>
      <c r="F95" s="325" t="s">
        <v>0</v>
      </c>
      <c r="G95" s="323" t="s">
        <v>382</v>
      </c>
      <c r="H95" s="326" t="str">
        <f>E95</f>
        <v>Movement</v>
      </c>
      <c r="I95" s="327"/>
      <c r="J95" s="327"/>
      <c r="K95" s="327"/>
      <c r="M95" s="658" t="s">
        <v>76</v>
      </c>
      <c r="N95" s="658"/>
      <c r="O95" s="62">
        <f>'LFR Data'!$B15</f>
        <v>3447102.2536571412</v>
      </c>
      <c r="P95" s="62">
        <f>'LFR Data'!$B16</f>
        <v>3572868.534914453</v>
      </c>
      <c r="Q95" s="62">
        <f>'LFR Data'!$B17</f>
        <v>3716888.2850383385</v>
      </c>
      <c r="R95" s="62">
        <f>'LFR Data'!$B18</f>
        <v>3791310.4133617221</v>
      </c>
      <c r="S95" s="62">
        <f>'LFR Data'!$B19</f>
        <v>3732201.1145146098</v>
      </c>
      <c r="T95" s="62">
        <f>'LFR Data'!$B20</f>
        <v>3732142.2948174402</v>
      </c>
      <c r="U95" s="62">
        <f>'LFR Data'!$B21</f>
        <v>3785476</v>
      </c>
      <c r="V95" s="62">
        <f>'LFR Data'!$B22</f>
        <v>3776318.1622189092</v>
      </c>
      <c r="W95" s="62">
        <f>'LFR Data'!$B23</f>
        <v>3808461.3492000001</v>
      </c>
    </row>
    <row r="96" spans="1:23">
      <c r="A96" s="328" t="s">
        <v>135</v>
      </c>
      <c r="B96" s="329"/>
      <c r="C96" s="330">
        <f>C77/C76</f>
        <v>0.21153983412559066</v>
      </c>
      <c r="D96" s="331">
        <f>K77/K76</f>
        <v>0.22737347074350819</v>
      </c>
      <c r="E96" s="332">
        <f>(D96-C96)*100</f>
        <v>1.5833636617917535</v>
      </c>
      <c r="F96" s="333">
        <f>O96/O$95</f>
        <v>0.21331707678713474</v>
      </c>
      <c r="G96" s="331">
        <f>W96/W$95</f>
        <v>0.22412751017659718</v>
      </c>
      <c r="H96" s="334">
        <f>(G96-F96)*100</f>
        <v>1.0810433389462442</v>
      </c>
      <c r="I96" s="335"/>
      <c r="J96" s="335"/>
      <c r="K96" s="335"/>
      <c r="M96" s="635" t="s">
        <v>13</v>
      </c>
      <c r="N96" s="636"/>
      <c r="O96" s="62">
        <f>'LFR Data'!$F15</f>
        <v>735325.77613648563</v>
      </c>
      <c r="P96" s="62">
        <f>'LFR Data'!$F16</f>
        <v>767147.0919112534</v>
      </c>
      <c r="Q96" s="62">
        <f>'LFR Data'!$F17</f>
        <v>786286.5319639087</v>
      </c>
      <c r="R96" s="62">
        <f>'LFR Data'!$F18</f>
        <v>815917.28479707008</v>
      </c>
      <c r="S96" s="62">
        <f>'LFR Data'!$F19</f>
        <v>800241.65174363833</v>
      </c>
      <c r="T96" s="62">
        <f>'LFR Data'!$F20</f>
        <v>807284.85002847575</v>
      </c>
      <c r="U96" s="62">
        <f>'LFR Data'!$F21</f>
        <v>837106</v>
      </c>
      <c r="V96" s="62">
        <f>'LFR Data'!$F22</f>
        <v>840707.8882025379</v>
      </c>
      <c r="W96" s="62">
        <f>'LFR Data'!$F23</f>
        <v>853580.95980000007</v>
      </c>
    </row>
    <row r="97" spans="1:23">
      <c r="A97" s="630" t="s">
        <v>77</v>
      </c>
      <c r="B97" s="631"/>
      <c r="C97" s="336">
        <f>C78/C76</f>
        <v>0.78356387306753461</v>
      </c>
      <c r="D97" s="337">
        <f>K78/K76</f>
        <v>0.76682990493771286</v>
      </c>
      <c r="E97" s="332">
        <f>(D97-C97)*100</f>
        <v>-1.6733968129821752</v>
      </c>
      <c r="F97" s="338">
        <f>O97/O$95</f>
        <v>0.77605372007082352</v>
      </c>
      <c r="G97" s="337">
        <f>W97/W$95</f>
        <v>0.76634543031743663</v>
      </c>
      <c r="H97" s="334">
        <f>(G97-F97)*100</f>
        <v>-0.97082897533868895</v>
      </c>
      <c r="I97" s="335"/>
      <c r="J97" s="335"/>
      <c r="K97" s="335"/>
      <c r="M97" s="635" t="s">
        <v>77</v>
      </c>
      <c r="N97" s="636"/>
      <c r="O97" s="62">
        <f>'LFR Data'!$H15+'LFR Data'!$J15+'LFR Data'!$K15+'LFR Data'!$L15+'LFR Data'!$M15+'LFR Data'!$O15+'LFR Data'!$Q15</f>
        <v>2675136.5274151438</v>
      </c>
      <c r="P97" s="62">
        <f>'LFR Data'!$H16+'LFR Data'!$J16+'LFR Data'!$K16+'LFR Data'!$L16+'LFR Data'!$M16+'LFR Data'!$O16+'LFR Data'!$Q16</f>
        <v>2769361.6603491441</v>
      </c>
      <c r="Q97" s="62">
        <f>'LFR Data'!$H17+'LFR Data'!$J17+'LFR Data'!$K17+'LFR Data'!$L17+'LFR Data'!$M17+'LFR Data'!$O17+'LFR Data'!$Q17</f>
        <v>2888063.3837927571</v>
      </c>
      <c r="R97" s="62">
        <f>'LFR Data'!$H18+'LFR Data'!$J18+'LFR Data'!$K18+'LFR Data'!$L18+'LFR Data'!$M18+'LFR Data'!$O18+'LFR Data'!$Q18</f>
        <v>2933346.3750041369</v>
      </c>
      <c r="S97" s="62">
        <f>'LFR Data'!$H19+'LFR Data'!$J19+'LFR Data'!$K19+'LFR Data'!$L19+'LFR Data'!$M19+'LFR Data'!$O19+'LFR Data'!$Q19</f>
        <v>2896154.6499335966</v>
      </c>
      <c r="T97" s="62">
        <f>'LFR Data'!$H20+'LFR Data'!$J20+'LFR Data'!$K20+'LFR Data'!$L20+'LFR Data'!$M20+'LFR Data'!$O20+'LFR Data'!$Q20</f>
        <v>2891512.579098905</v>
      </c>
      <c r="U97" s="62">
        <f>'LFR Data'!$H21+'LFR Data'!$J21+'LFR Data'!$K21+'LFR Data'!$L21+'LFR Data'!$M21+'LFR Data'!$O21+'LFR Data'!$Q21</f>
        <v>2920281</v>
      </c>
      <c r="V97" s="62">
        <f>'LFR Data'!$H22+'LFR Data'!$J22+'LFR Data'!$K22+'LFR Data'!$L22+'LFR Data'!$M22+'LFR Data'!$O22+'LFR Data'!$Q22</f>
        <v>2895848.8762438004</v>
      </c>
      <c r="W97" s="62">
        <f>'LFR Data'!$H23+'LFR Data'!$J23+'LFR Data'!$K23+'LFR Data'!$L23+'LFR Data'!$M23+'LFR Data'!$O23+'LFR Data'!$Q23</f>
        <v>2918596.9514999995</v>
      </c>
    </row>
    <row r="98" spans="1:23">
      <c r="A98" s="632" t="s">
        <v>78</v>
      </c>
      <c r="B98" s="633"/>
      <c r="C98" s="336">
        <f>C79/C76</f>
        <v>0.40018271879862388</v>
      </c>
      <c r="D98" s="337">
        <f>K79/K76</f>
        <v>0.41237749781009886</v>
      </c>
      <c r="E98" s="332">
        <f>(D98-C98)*100</f>
        <v>1.2194779011474977</v>
      </c>
      <c r="F98" s="338">
        <f>O98/O$95</f>
        <v>0.45163410348220023</v>
      </c>
      <c r="G98" s="337">
        <f>W98/W$95</f>
        <v>0.44486383540583685</v>
      </c>
      <c r="H98" s="334">
        <f>(G98-F98)*100</f>
        <v>-0.67702680763633838</v>
      </c>
      <c r="I98" s="335"/>
      <c r="J98" s="335"/>
      <c r="K98" s="335"/>
      <c r="M98" s="637" t="s">
        <v>78</v>
      </c>
      <c r="N98" s="638"/>
      <c r="O98" s="14">
        <f>'LFR Data'!$H15</f>
        <v>1556828.935941915</v>
      </c>
      <c r="P98" s="14">
        <f>'LFR Data'!$H16</f>
        <v>1628402.5149534012</v>
      </c>
      <c r="Q98" s="14">
        <f>'LFR Data'!$H17</f>
        <v>1684512.0090793085</v>
      </c>
      <c r="R98" s="14">
        <f>'LFR Data'!$H18</f>
        <v>1701830.4736505346</v>
      </c>
      <c r="S98" s="14">
        <f>'LFR Data'!$H19</f>
        <v>1664536.5138484281</v>
      </c>
      <c r="T98" s="14">
        <f>'LFR Data'!$H20</f>
        <v>1663419.4955071823</v>
      </c>
      <c r="U98" s="14">
        <f>'LFR Data'!$H21</f>
        <v>1681644</v>
      </c>
      <c r="V98" s="14">
        <f>'LFR Data'!$H22</f>
        <v>1675554.2535678425</v>
      </c>
      <c r="W98" s="14">
        <f>'LFR Data'!$H23</f>
        <v>1694246.7228000001</v>
      </c>
    </row>
    <row r="99" spans="1:23">
      <c r="A99" s="632" t="s">
        <v>79</v>
      </c>
      <c r="B99" s="633"/>
      <c r="C99" s="336">
        <f>C80/C76</f>
        <v>0.19129087976246556</v>
      </c>
      <c r="D99" s="337">
        <f>K80/K76</f>
        <v>0.1852215474517781</v>
      </c>
      <c r="E99" s="332">
        <f>(D99-C99)*100</f>
        <v>-0.60693323106874586</v>
      </c>
      <c r="F99" s="338">
        <f>O99/O$95</f>
        <v>0.1679770751975464</v>
      </c>
      <c r="G99" s="337">
        <f>W99/W$95</f>
        <v>0.17678731875313106</v>
      </c>
      <c r="H99" s="334">
        <f>(G99-F99)*100</f>
        <v>0.8810243555584657</v>
      </c>
      <c r="I99" s="335"/>
      <c r="J99" s="335"/>
      <c r="K99" s="335"/>
      <c r="M99" s="637" t="s">
        <v>79</v>
      </c>
      <c r="N99" s="638"/>
      <c r="O99" s="14">
        <f>'LFR Data'!$K15</f>
        <v>579034.15447619732</v>
      </c>
      <c r="P99" s="14">
        <f>'LFR Data'!$K16</f>
        <v>600762.4163652804</v>
      </c>
      <c r="Q99" s="14">
        <f>'LFR Data'!$K17</f>
        <v>651913.34827730292</v>
      </c>
      <c r="R99" s="14">
        <f>'LFR Data'!$K18</f>
        <v>673361.59828786401</v>
      </c>
      <c r="S99" s="14">
        <f>'LFR Data'!$K19</f>
        <v>676723.68247151072</v>
      </c>
      <c r="T99" s="14">
        <f>'LFR Data'!$K20</f>
        <v>679308.58950832125</v>
      </c>
      <c r="U99" s="14">
        <f>'LFR Data'!$K21</f>
        <v>696499</v>
      </c>
      <c r="V99" s="14">
        <f>'LFR Data'!$K22</f>
        <v>674656.87140553212</v>
      </c>
      <c r="W99" s="14">
        <f>'LFR Data'!$K23</f>
        <v>673287.67050000001</v>
      </c>
    </row>
    <row r="100" spans="1:23">
      <c r="A100" s="632" t="s">
        <v>80</v>
      </c>
      <c r="B100" s="633"/>
      <c r="C100" s="339">
        <f>C83/C76</f>
        <v>0.10360013132913651</v>
      </c>
      <c r="D100" s="340">
        <f>K83/K76</f>
        <v>0.10134098378003398</v>
      </c>
      <c r="E100" s="341">
        <f>(D100-C100)*100</f>
        <v>-0.22591475491025304</v>
      </c>
      <c r="F100" s="342">
        <f>O100/O$95</f>
        <v>0.15644254139107677</v>
      </c>
      <c r="G100" s="340">
        <f>W100/W$95</f>
        <v>0.14469427615846897</v>
      </c>
      <c r="H100" s="343">
        <f>(G100-F100)*100</f>
        <v>-1.1748265232607802</v>
      </c>
      <c r="I100" s="335"/>
      <c r="J100" s="335"/>
      <c r="K100" s="335"/>
      <c r="M100" s="637" t="s">
        <v>80</v>
      </c>
      <c r="N100" s="638"/>
      <c r="O100" s="14">
        <f>'LFR Data'!$J15+'LFR Data'!$L15+'LFR Data'!$M15+'LFR Data'!$O15+'LFR Data'!$Q15</f>
        <v>539273.43699703133</v>
      </c>
      <c r="P100" s="14">
        <f>'LFR Data'!$J16+'LFR Data'!$L16+'LFR Data'!$M16+'LFR Data'!$O16+'LFR Data'!$Q16</f>
        <v>540196.72903046326</v>
      </c>
      <c r="Q100" s="14">
        <f>'LFR Data'!$J17+'LFR Data'!$L17+'LFR Data'!$M17+'LFR Data'!$O17+'LFR Data'!$Q17</f>
        <v>551638.02643614553</v>
      </c>
      <c r="R100" s="14">
        <f>'LFR Data'!$J18+'LFR Data'!$L18+'LFR Data'!$M18+'LFR Data'!$O18+'LFR Data'!$Q18</f>
        <v>558154.30306573864</v>
      </c>
      <c r="S100" s="14">
        <f>'LFR Data'!$J19+'LFR Data'!$L19+'LFR Data'!$M19+'LFR Data'!$O19+'LFR Data'!$Q19</f>
        <v>554894.45361365797</v>
      </c>
      <c r="T100" s="14">
        <f>'LFR Data'!$J20+'LFR Data'!$L20+'LFR Data'!$M20+'LFR Data'!$O20+'LFR Data'!$Q20</f>
        <v>548784.49408340186</v>
      </c>
      <c r="U100" s="14">
        <f>'LFR Data'!$J21+'LFR Data'!$L21+'LFR Data'!$M21+'LFR Data'!$O21+'LFR Data'!$Q21</f>
        <v>542138</v>
      </c>
      <c r="V100" s="14">
        <f>'LFR Data'!$J22+'LFR Data'!$L22+'LFR Data'!$M22+'LFR Data'!$O22+'LFR Data'!$Q22</f>
        <v>545637.75127042586</v>
      </c>
      <c r="W100" s="14">
        <f>'LFR Data'!$J23+'LFR Data'!$L23+'LFR Data'!$M23+'LFR Data'!$O23+'LFR Data'!$Q23</f>
        <v>551062.55820000009</v>
      </c>
    </row>
    <row r="101" spans="1:23">
      <c r="A101" s="657"/>
      <c r="B101" s="657"/>
      <c r="C101" s="338"/>
      <c r="D101" s="338"/>
      <c r="E101" s="335"/>
      <c r="F101" s="338"/>
      <c r="G101" s="338"/>
      <c r="H101" s="344"/>
      <c r="I101" s="335"/>
      <c r="J101" s="335"/>
      <c r="K101" s="335"/>
      <c r="M101" s="635" t="s">
        <v>81</v>
      </c>
      <c r="N101" s="636"/>
      <c r="O101" s="62">
        <f>'LFR Data'!$C15+'LFR Data'!$E15+'LFR Data'!$P15</f>
        <v>36639.950105511649</v>
      </c>
      <c r="P101" s="62">
        <f>'LFR Data'!$C16+'LFR Data'!$E16+'LFR Data'!$P16</f>
        <v>36359.782654054812</v>
      </c>
      <c r="Q101" s="62">
        <f>'LFR Data'!$C17+'LFR Data'!$E17+'LFR Data'!$P17</f>
        <v>42538.369281673127</v>
      </c>
      <c r="R101" s="62">
        <f>'LFR Data'!$C18+'LFR Data'!$E18+'LFR Data'!$P18</f>
        <v>42046.753560514968</v>
      </c>
      <c r="S101" s="62">
        <f>'LFR Data'!$C19+'LFR Data'!$E19+'LFR Data'!$P19</f>
        <v>35804.812837374702</v>
      </c>
      <c r="T101" s="62">
        <f>'LFR Data'!$C20+'LFR Data'!$E20+'LFR Data'!$P20</f>
        <v>33344.865690058854</v>
      </c>
      <c r="U101" s="62">
        <f>'LFR Data'!$C21+'LFR Data'!$E21+'LFR Data'!$P21</f>
        <v>28089</v>
      </c>
      <c r="V101" s="62">
        <f>'LFR Data'!$C22+'LFR Data'!$E22+'LFR Data'!$P22</f>
        <v>35846.860298816304</v>
      </c>
      <c r="W101" s="62">
        <f>'LFR Data'!$C23+'LFR Data'!$E23+'LFR Data'!$P23</f>
        <v>36283.437899999997</v>
      </c>
    </row>
    <row r="102" spans="1:23">
      <c r="A102" s="345"/>
      <c r="B102" s="345"/>
      <c r="C102" s="338"/>
      <c r="D102" s="338"/>
      <c r="E102" s="335"/>
      <c r="F102" s="338"/>
      <c r="G102" s="338"/>
      <c r="H102" s="335"/>
      <c r="I102" s="335"/>
      <c r="J102" s="335"/>
      <c r="K102" s="335"/>
      <c r="M102" s="170"/>
      <c r="N102" s="170"/>
      <c r="O102" s="171"/>
      <c r="P102" s="171"/>
      <c r="Q102" s="171"/>
      <c r="R102" s="171"/>
      <c r="S102" s="171"/>
      <c r="T102" s="171"/>
    </row>
    <row r="103" spans="1:23">
      <c r="A103" s="345"/>
      <c r="B103" s="345"/>
      <c r="C103" s="338"/>
      <c r="D103" s="338"/>
      <c r="E103" s="335"/>
      <c r="F103" s="338"/>
      <c r="G103" s="338"/>
      <c r="H103" s="335"/>
      <c r="I103" s="335"/>
      <c r="J103" s="335"/>
      <c r="K103" s="335"/>
      <c r="M103" s="170"/>
      <c r="N103" s="170"/>
      <c r="O103" s="171"/>
      <c r="P103" s="171"/>
      <c r="Q103" s="171"/>
      <c r="R103" s="171"/>
      <c r="S103" s="171"/>
      <c r="T103" s="171"/>
      <c r="U103" s="171"/>
    </row>
    <row r="104" spans="1:23">
      <c r="A104" s="293" t="str">
        <f>"Figure " &amp; $L$104 &amp; "- " &amp; $C$5 &amp; " expenditure by service area"</f>
        <v>Figure 5- Aberdeen City expenditure by service area</v>
      </c>
      <c r="C104" s="338"/>
      <c r="D104" s="338"/>
      <c r="E104" s="338"/>
      <c r="F104" s="338"/>
      <c r="G104" s="338"/>
      <c r="H104" s="285"/>
      <c r="I104" s="285"/>
      <c r="J104" s="285"/>
      <c r="K104" s="285"/>
      <c r="L104" s="320">
        <f>$L$93+1</f>
        <v>5</v>
      </c>
    </row>
    <row r="112" spans="1:23" ht="12.75" customHeight="1"/>
    <row r="113" spans="1:21" ht="12.75" customHeight="1">
      <c r="M113" s="106"/>
      <c r="N113" s="91"/>
      <c r="O113" s="67" t="s">
        <v>13</v>
      </c>
      <c r="P113" s="67" t="s">
        <v>85</v>
      </c>
      <c r="Q113" s="67" t="s">
        <v>86</v>
      </c>
      <c r="R113" s="67" t="s">
        <v>87</v>
      </c>
      <c r="S113" s="67" t="s">
        <v>81</v>
      </c>
    </row>
    <row r="114" spans="1:21">
      <c r="M114" s="629" t="str">
        <f>C75</f>
        <v>2006/07</v>
      </c>
      <c r="N114" s="629"/>
      <c r="O114" s="14">
        <f>C77</f>
        <v>34117.780678851181</v>
      </c>
      <c r="P114" s="14">
        <f>C79</f>
        <v>64542.672484709758</v>
      </c>
      <c r="Q114" s="14">
        <f>C80</f>
        <v>30851.968418040706</v>
      </c>
      <c r="R114" s="14">
        <f>C83</f>
        <v>16708.940770413821</v>
      </c>
      <c r="S114" s="14">
        <f>C84</f>
        <v>789.68883007260638</v>
      </c>
    </row>
    <row r="115" spans="1:21">
      <c r="M115" s="629" t="str">
        <f>K75</f>
        <v>2014/15</v>
      </c>
      <c r="N115" s="629"/>
      <c r="O115" s="14">
        <f>K77</f>
        <v>37343.611799999999</v>
      </c>
      <c r="P115" s="14">
        <f>K79</f>
        <v>67728.504750000007</v>
      </c>
      <c r="Q115" s="14">
        <f>K80</f>
        <v>30420.618300000002</v>
      </c>
      <c r="R115" s="14">
        <f>K83</f>
        <v>16644.150900000001</v>
      </c>
      <c r="S115" s="14">
        <f>K84</f>
        <v>952.03230000000008</v>
      </c>
      <c r="U115" s="11"/>
    </row>
    <row r="122" spans="1:21">
      <c r="A122" s="284" t="s">
        <v>99</v>
      </c>
    </row>
    <row r="123" spans="1:21">
      <c r="A123" s="293" t="str">
        <f>"Figure "&amp;$L$123&amp;" - Total social work spend per head across Scotland"</f>
        <v>Figure 6 - Total social work spend per head across Scotland</v>
      </c>
      <c r="L123" s="320">
        <f>$L$104+1</f>
        <v>6</v>
      </c>
    </row>
    <row r="143" spans="1:11">
      <c r="A143" s="388" t="str">
        <f>"- This spend equates to £"&amp;ROUND('Per Capita Data - Overall'!D36,0)&amp;" per head of population in " &amp;$C$5 &amp;" in 2014/15"</f>
        <v>- This spend equates to £743 per head of population in Aberdeen City in 2014/15</v>
      </c>
      <c r="B143" s="388"/>
      <c r="C143" s="388"/>
      <c r="D143" s="388"/>
      <c r="E143" s="388"/>
      <c r="F143" s="388"/>
      <c r="G143" s="388"/>
      <c r="H143" s="388"/>
      <c r="I143" s="388"/>
      <c r="J143" s="388"/>
      <c r="K143" s="388"/>
    </row>
    <row r="144" spans="1:11">
      <c r="A144" s="388" t="str">
        <f>"- The average spend per head nationally in 2014/15 was £"&amp;ROUND('Per Capita Data - Overall'!D39,0) &amp; " (represented by the horizontal line)"</f>
        <v>- The average spend per head nationally in 2014/15 was £738 (represented by the horizontal line)</v>
      </c>
      <c r="B144" s="388"/>
      <c r="C144" s="388"/>
      <c r="D144" s="388"/>
      <c r="E144" s="388"/>
      <c r="F144" s="388"/>
      <c r="G144" s="388"/>
      <c r="H144" s="388"/>
      <c r="I144" s="388"/>
      <c r="J144" s="388"/>
      <c r="K144" s="388"/>
    </row>
    <row r="145" spans="1:24">
      <c r="A145" s="389" t="str">
        <f>"- The range of spend per head in 2014/15 was £"&amp;ROUND('Per Capita Data - Overall'!D37,0)&amp;" to £"&amp;ROUND('Per Capita Data - Overall'!D38,0)</f>
        <v>- The range of spend per head in 2014/15 was £544 to £1463</v>
      </c>
      <c r="B145" s="389"/>
      <c r="C145" s="389"/>
      <c r="D145" s="389"/>
      <c r="E145" s="389"/>
      <c r="F145" s="389"/>
      <c r="G145" s="389"/>
      <c r="H145" s="389"/>
      <c r="I145" s="389"/>
      <c r="J145" s="389"/>
      <c r="K145" s="389"/>
    </row>
    <row r="146" spans="1:24" ht="7.5" customHeight="1"/>
    <row r="147" spans="1:24" ht="18.75">
      <c r="A147" s="625" t="s">
        <v>138</v>
      </c>
      <c r="B147" s="625"/>
      <c r="C147" s="625"/>
      <c r="D147" s="625"/>
      <c r="E147" s="625"/>
      <c r="F147" s="625"/>
      <c r="G147" s="625"/>
      <c r="H147" s="625"/>
      <c r="I147" s="349"/>
      <c r="J147" s="449"/>
      <c r="K147" s="572"/>
    </row>
    <row r="148" spans="1:24" ht="10.5" customHeight="1">
      <c r="A148" s="349"/>
      <c r="B148" s="349"/>
      <c r="C148" s="349"/>
      <c r="D148" s="349"/>
      <c r="E148" s="349"/>
      <c r="F148" s="349"/>
      <c r="G148" s="349"/>
      <c r="H148" s="349"/>
      <c r="I148" s="349"/>
      <c r="J148" s="449"/>
      <c r="K148" s="572"/>
    </row>
    <row r="149" spans="1:24" ht="27.75" customHeight="1">
      <c r="A149" s="621" t="str">
        <f>"Figure " &amp; $L$149 &amp; " - " &amp; $C$5 &amp; " and Scotland's movement in children and families social work expenditure"</f>
        <v>Figure 7 - Aberdeen City and Scotland's movement in children and families social work expenditure</v>
      </c>
      <c r="B149" s="620"/>
      <c r="C149" s="620"/>
      <c r="D149" s="620"/>
      <c r="E149" s="620"/>
      <c r="F149" s="620"/>
      <c r="G149" s="620"/>
      <c r="H149" s="620"/>
      <c r="I149" s="348"/>
      <c r="J149" s="454"/>
      <c r="K149" s="568"/>
      <c r="L149" s="320">
        <f>$L$123+1</f>
        <v>7</v>
      </c>
    </row>
    <row r="151" spans="1:24">
      <c r="M151" t="s">
        <v>13</v>
      </c>
    </row>
    <row r="152" spans="1:24" ht="25.5">
      <c r="M152" s="106"/>
      <c r="N152" s="91"/>
      <c r="O152" s="10" t="s">
        <v>321</v>
      </c>
      <c r="P152" s="10" t="s">
        <v>0</v>
      </c>
      <c r="Q152" s="10" t="s">
        <v>1</v>
      </c>
      <c r="R152" s="10" t="s">
        <v>28</v>
      </c>
      <c r="S152" s="10" t="s">
        <v>65</v>
      </c>
      <c r="T152" s="10" t="s">
        <v>267</v>
      </c>
      <c r="U152" s="10" t="s">
        <v>315</v>
      </c>
      <c r="V152" s="10" t="s">
        <v>322</v>
      </c>
      <c r="W152" s="10" t="s">
        <v>369</v>
      </c>
      <c r="X152" s="10" t="s">
        <v>382</v>
      </c>
    </row>
    <row r="153" spans="1:24">
      <c r="M153" s="629" t="str">
        <f>C5</f>
        <v>Aberdeen City</v>
      </c>
      <c r="N153" s="629"/>
      <c r="O153" s="109">
        <f>('LFR Data'!$F2)/('LFR Data'!$F$2)-1</f>
        <v>0</v>
      </c>
      <c r="P153" s="109">
        <f>('LFR Data'!$F3)/('LFR Data'!$F$2)-1</f>
        <v>7.8816197669947963E-2</v>
      </c>
      <c r="Q153" s="109">
        <f>('LFR Data'!$F4)/('LFR Data'!$F$2)-1</f>
        <v>0.10603670453265046</v>
      </c>
      <c r="R153" s="109">
        <f>('LFR Data'!$F5)/('LFR Data'!$F$2)-1</f>
        <v>0.20999457037622826</v>
      </c>
      <c r="S153" s="109">
        <f>('LFR Data'!$F6)/('LFR Data'!$F$2)-1</f>
        <v>0.18706147511778926</v>
      </c>
      <c r="T153" s="109">
        <f>('LFR Data'!$F7)/('LFR Data'!$F$2)-1</f>
        <v>0.13235694456794334</v>
      </c>
      <c r="U153" s="109">
        <f>('LFR Data'!$F8)/('LFR Data'!$F$2)-1</f>
        <v>0.16562602023675432</v>
      </c>
      <c r="V153" s="109">
        <f>('LFR Data'!$F9)/('LFR Data'!$F$2)-1</f>
        <v>0.12565287239385725</v>
      </c>
      <c r="W153" s="109">
        <f>('LFR Data'!$F10)/('LFR Data'!$F$2)-1</f>
        <v>0.18121197175035864</v>
      </c>
      <c r="X153" s="109">
        <f>('LFR Data'!$F11)/('LFR Data'!$F$2)-1</f>
        <v>0.18081810972867607</v>
      </c>
    </row>
    <row r="154" spans="1:24">
      <c r="M154" s="629" t="s">
        <v>5</v>
      </c>
      <c r="N154" s="629"/>
      <c r="O154" s="109">
        <f>('LFR Data'!$F14)/('LFR Data'!$F$14)-1</f>
        <v>0</v>
      </c>
      <c r="P154" s="109">
        <f>('LFR Data'!$F15)/('LFR Data'!$F$14)-1</f>
        <v>5.4733777606012168E-2</v>
      </c>
      <c r="Q154" s="109">
        <f>('LFR Data'!$F16)/('LFR Data'!$F$14)-1</f>
        <v>0.100377514959896</v>
      </c>
      <c r="R154" s="109">
        <f>('LFR Data'!$F17)/('LFR Data'!$F$14)-1</f>
        <v>0.12783067186412778</v>
      </c>
      <c r="S154" s="109">
        <f>('LFR Data'!$F18)/('LFR Data'!$F$14)-1</f>
        <v>0.17033231791444847</v>
      </c>
      <c r="T154" s="109">
        <f>('LFR Data'!$F19)/('LFR Data'!$F$14)-1</f>
        <v>0.14784756326096438</v>
      </c>
      <c r="U154" s="109">
        <f>('LFR Data'!$F20)/('LFR Data'!$F$14)-1</f>
        <v>0.15795015910960486</v>
      </c>
      <c r="V154" s="109">
        <f>('LFR Data'!$F21)/('LFR Data'!$F$14)-1</f>
        <v>0.20072490627987549</v>
      </c>
      <c r="W154" s="109">
        <f>('LFR Data'!$F22)/('LFR Data'!$F$14)-1</f>
        <v>0.20589136891952076</v>
      </c>
      <c r="X154" s="109">
        <f>('LFR Data'!$F23)/('LFR Data'!$F$14)-1</f>
        <v>0.22435619617843039</v>
      </c>
    </row>
    <row r="159" spans="1:24">
      <c r="P159" s="11"/>
    </row>
    <row r="165" spans="1:24">
      <c r="A165" s="346" t="str">
        <f>"- Over the period, spend has moved from £"&amp;ROUND('LFR Data'!F2,-2)/1000&amp;" million to £"&amp;ROUND('LFR Data'!F10,-2)/1000&amp;" million (in real terms)"</f>
        <v>- Over the period, spend has moved from £31.6 million to £37.4 million (in real terms)</v>
      </c>
      <c r="Q165" s="18"/>
    </row>
    <row r="166" spans="1:24">
      <c r="A166" s="346" t="str">
        <f>"- This represents a move of "&amp;ROUND('LFR Data'!F12*100,0)&amp;"%"</f>
        <v>- This represents a move of 18%</v>
      </c>
    </row>
    <row r="167" spans="1:24">
      <c r="A167" s="346" t="str">
        <f>"- Nationally, spend has moved by "&amp;ROUND('LFR Data'!F24*100,0)&amp;"%"</f>
        <v>- Nationally, spend has moved by 22%</v>
      </c>
    </row>
    <row r="168" spans="1:24">
      <c r="A168" s="619" t="str">
        <f>"- C&amp;F accounts for "&amp;ROUND(D96,3)*100&amp;"% of council social work spend in 2014/15 ("&amp;ROUND(C96,3)*100&amp;"% in 2005/06)"</f>
        <v>- C&amp;F accounts for 22.7% of council social work spend in 2014/15 (21.2% in 2005/06)</v>
      </c>
      <c r="B168" s="620"/>
      <c r="C168" s="620"/>
      <c r="D168" s="620"/>
      <c r="E168" s="620"/>
      <c r="F168" s="620"/>
      <c r="G168" s="620"/>
      <c r="H168" s="620"/>
      <c r="I168" s="348"/>
      <c r="J168" s="454"/>
      <c r="K168" s="568"/>
    </row>
    <row r="169" spans="1:24">
      <c r="A169" s="619" t="str">
        <f>"- As a proportion of total spend nationally, C&amp;F accounts for "&amp;ROUND($G$96,3)*100&amp;"% ("&amp;ROUND($F$96,3)*100&amp;"% in 2005/06)"</f>
        <v>- As a proportion of total spend nationally, C&amp;F accounts for 22.4% (21.3% in 2005/06)</v>
      </c>
      <c r="B169" s="620"/>
      <c r="C169" s="620"/>
      <c r="D169" s="620"/>
      <c r="E169" s="620"/>
      <c r="F169" s="620"/>
      <c r="G169" s="620"/>
      <c r="H169" s="620"/>
      <c r="I169" s="348"/>
      <c r="J169" s="454"/>
      <c r="K169" s="568"/>
    </row>
    <row r="170" spans="1:24">
      <c r="A170" s="347"/>
      <c r="B170" s="348"/>
      <c r="C170" s="348"/>
      <c r="D170" s="348"/>
      <c r="E170" s="348"/>
      <c r="F170" s="348"/>
      <c r="G170" s="348"/>
      <c r="H170" s="348"/>
      <c r="I170" s="348"/>
      <c r="J170" s="454"/>
      <c r="K170" s="568"/>
    </row>
    <row r="171" spans="1:24" ht="28.5" customHeight="1">
      <c r="A171" s="621" t="str">
        <f>"Figure " &amp; $L$171 &amp; " - " &amp; $C$5 &amp; " and Scotland's children and families social work expenditure"</f>
        <v>Figure 8 - Aberdeen City and Scotland's children and families social work expenditure</v>
      </c>
      <c r="B171" s="620"/>
      <c r="C171" s="620"/>
      <c r="D171" s="620"/>
      <c r="E171" s="620"/>
      <c r="F171" s="620"/>
      <c r="G171" s="620"/>
      <c r="H171" s="620"/>
      <c r="I171" s="348"/>
      <c r="J171" s="454"/>
      <c r="K171" s="568"/>
      <c r="L171" s="320">
        <f>$L$149+1</f>
        <v>8</v>
      </c>
    </row>
    <row r="175" spans="1:24">
      <c r="M175" s="106"/>
      <c r="N175" s="91"/>
      <c r="O175" s="10" t="s">
        <v>4</v>
      </c>
      <c r="P175" s="10" t="s">
        <v>0</v>
      </c>
      <c r="Q175" s="10" t="s">
        <v>1</v>
      </c>
      <c r="R175" s="10" t="s">
        <v>28</v>
      </c>
      <c r="S175" s="10" t="s">
        <v>65</v>
      </c>
      <c r="T175" s="10" t="s">
        <v>267</v>
      </c>
      <c r="U175" s="10" t="s">
        <v>315</v>
      </c>
      <c r="V175" s="10" t="s">
        <v>322</v>
      </c>
      <c r="W175" s="10" t="s">
        <v>369</v>
      </c>
      <c r="X175" s="10" t="s">
        <v>382</v>
      </c>
    </row>
    <row r="176" spans="1:24">
      <c r="M176" s="629" t="str">
        <f>$C$5</f>
        <v>Aberdeen City</v>
      </c>
      <c r="N176" s="629"/>
      <c r="O176" s="108">
        <f>VLOOKUP(Cover!$C$5,'2005-06'!$O$2:$AA$34,5)</f>
        <v>839.35459604148411</v>
      </c>
      <c r="P176" s="108">
        <f>VLOOKUP(Cover!$C$5,'2006-07'!$O$2:$AA$34,5)</f>
        <v>915.6923341702992</v>
      </c>
      <c r="Q176" s="108">
        <f>VLOOKUP(Cover!$C$5,'2007-08'!$O$2:$AA$34,5)</f>
        <v>933.01239583117285</v>
      </c>
      <c r="R176" s="108">
        <f>VLOOKUP(Cover!$C$5,'2008-09'!$O$2:$AA$34,5)</f>
        <v>1013.6237358372176</v>
      </c>
      <c r="S176" s="108">
        <f>VLOOKUP(Cover!$C$5,'2009-10'!$O$2:$AA$34,5)</f>
        <v>987.06542987728324</v>
      </c>
      <c r="T176" s="108">
        <f>VLOOKUP(Cover!$C$5,'2010-11'!$O$2:$AA$34,5)</f>
        <v>929.69749058585705</v>
      </c>
      <c r="U176" s="108">
        <f>VLOOKUP(Cover!$C$5,'2011-12'!$O$2:$AA$34,5)</f>
        <v>1008.2645139323574</v>
      </c>
      <c r="V176" s="108">
        <f>VLOOKUP(Cover!$C$5,'2012-13'!$O$2:$AA$34,5)</f>
        <v>955.47265016909125</v>
      </c>
      <c r="W176" s="108">
        <f>VLOOKUP(Cover!$C$5,'2013-14'!$O$2:$AA$34,5)</f>
        <v>993.77674291515871</v>
      </c>
      <c r="X176" s="108">
        <f>VLOOKUP(Cover!$C$5,'2014-15'!$O$2:$AA$34,5)</f>
        <v>993.44537909018345</v>
      </c>
    </row>
    <row r="177" spans="1:24">
      <c r="M177" s="629" t="s">
        <v>5</v>
      </c>
      <c r="N177" s="629"/>
      <c r="O177" s="108">
        <f>'2005-06'!$S$35</f>
        <v>658.30916738604049</v>
      </c>
      <c r="P177" s="108">
        <f>'2006-07'!$S$35</f>
        <v>700.18356310428169</v>
      </c>
      <c r="Q177" s="108">
        <f>'2007-08'!$S$35</f>
        <v>732.4250190339128</v>
      </c>
      <c r="R177" s="108">
        <f>'2008-09'!$S$35</f>
        <v>751.9286558903126</v>
      </c>
      <c r="S177" s="108">
        <f>'2009-10'!$S$35</f>
        <v>782.91957353144039</v>
      </c>
      <c r="T177" s="108">
        <f>'2010-11'!$S$35</f>
        <v>771.06531142464132</v>
      </c>
      <c r="U177" s="108">
        <f>'2011-12'!$S$35</f>
        <v>774.70241582376013</v>
      </c>
      <c r="V177" s="108">
        <f>'2012-13'!$S$35</f>
        <v>806.10016331813142</v>
      </c>
      <c r="W177" s="108">
        <f>'2013-14'!$S$35</f>
        <v>813.70666010042544</v>
      </c>
      <c r="X177" s="108">
        <f>'2014-15'!$S$35</f>
        <v>826.16628399809144</v>
      </c>
    </row>
    <row r="178" spans="1:24">
      <c r="N178" t="s">
        <v>160</v>
      </c>
      <c r="O178" s="11">
        <f>MIN('2005-06'!$S$3:$S$34)</f>
        <v>248.67706729007546</v>
      </c>
      <c r="P178" s="11">
        <f>MIN('2006-07'!$S$3:$S$34)</f>
        <v>276.83438973215533</v>
      </c>
      <c r="Q178" s="11">
        <f>MIN('2007-08'!$S$3:$S$34)</f>
        <v>306.79223231781197</v>
      </c>
      <c r="R178" s="11">
        <f>MIN('2008-09'!$S$3:$S$34)</f>
        <v>330.88971614722914</v>
      </c>
      <c r="S178" s="11">
        <f>MIN('2009-10'!$S$3:$S$34)</f>
        <v>347.06386680913022</v>
      </c>
      <c r="T178" s="11">
        <f>MIN('2010-11'!$S$3:$S$34)</f>
        <v>316.71655958631965</v>
      </c>
      <c r="U178" s="11">
        <f>MIN('2011-12'!$S$3:$S$34)</f>
        <v>347.63879705263986</v>
      </c>
      <c r="V178" s="11">
        <f>MIN('2012-13'!$S$3:$S$34)</f>
        <v>372.30481441370483</v>
      </c>
      <c r="W178" s="11">
        <f>MIN('2013-14'!$S$3:$S$34)</f>
        <v>400.24080684257223</v>
      </c>
      <c r="X178" s="11">
        <f>MIN('2014-15'!$S$3:$S$34)</f>
        <v>366.60442772391843</v>
      </c>
    </row>
    <row r="179" spans="1:24">
      <c r="N179" t="s">
        <v>161</v>
      </c>
      <c r="O179" s="11">
        <f>MAX('2005-06'!$S$3:$S$34)</f>
        <v>1245.2543575449426</v>
      </c>
      <c r="P179" s="11">
        <f>MAX('2006-07'!$S$3:$S$34)</f>
        <v>1216.3743439353234</v>
      </c>
      <c r="Q179" s="11">
        <f>MAX('2007-08'!$S$3:$S$34)</f>
        <v>1288.4604786419095</v>
      </c>
      <c r="R179" s="11">
        <f>MAX('2008-09'!$S$3:$S$34)</f>
        <v>1320.9611929470636</v>
      </c>
      <c r="S179" s="11">
        <f>MAX('2009-10'!$S$3:$S$34)</f>
        <v>1380.7274730551419</v>
      </c>
      <c r="T179" s="11">
        <f>MAX('2010-11'!$S$3:$S$34)</f>
        <v>1369.5482766187247</v>
      </c>
      <c r="U179" s="11">
        <f>MAX('2011-12'!$S$3:$S$34)</f>
        <v>1355.8143731652699</v>
      </c>
      <c r="V179" s="11">
        <f>MAX('2012-13'!$S$3:$S$34)</f>
        <v>1390.3993671933922</v>
      </c>
      <c r="W179" s="11">
        <f>MAX('2013-14'!$S$3:$S$34)</f>
        <v>1363.7527637700134</v>
      </c>
      <c r="X179" s="11">
        <f>MAX('2014-15'!$S$3:$S$34)</f>
        <v>1349.3005762224707</v>
      </c>
    </row>
    <row r="190" spans="1:24">
      <c r="A190" s="346" t="str">
        <f>"- Per head of population aged 0-17 in 2014/15:"</f>
        <v>- Per head of population aged 0-17 in 2014/15:</v>
      </c>
    </row>
    <row r="191" spans="1:24">
      <c r="A191" s="346" t="str">
        <f>"      - The spend per head in " &amp;$C$5&amp;" has moved from £"&amp;ROUND(O176,0)&amp;" to £"&amp;ROUND(X176,0)</f>
        <v xml:space="preserve">      - The spend per head in Aberdeen City has moved from £839 to £993</v>
      </c>
    </row>
    <row r="192" spans="1:24">
      <c r="A192" s="346" t="str">
        <f>"      - The average spend per head across Scotland has moved from £"&amp;ROUND(O177,0)&amp;" to £"&amp;ROUND(X177,0)</f>
        <v xml:space="preserve">      - The average spend per head across Scotland has moved from £658 to £826</v>
      </c>
    </row>
    <row r="194" spans="1:12">
      <c r="A194" s="293" t="str">
        <f>"Figure " &amp; $L$194 &amp; " - " &amp; " Children and families social work spend per head across Scotland"</f>
        <v>Figure 9 -  Children and families social work spend per head across Scotland</v>
      </c>
      <c r="L194" s="320">
        <f>$L$171+1</f>
        <v>9</v>
      </c>
    </row>
    <row r="214" spans="1:22">
      <c r="A214" s="619" t="str">
        <f>"- Council spend equates to £"&amp;ROUND('Per Capita Data - C&amp;F'!D36,0)&amp;" per head of 0-17 population in 2014/15"</f>
        <v>- Council spend equates to £1029 per head of 0-17 population in 2014/15</v>
      </c>
      <c r="B214" s="620"/>
      <c r="C214" s="620"/>
      <c r="D214" s="620"/>
      <c r="E214" s="620"/>
      <c r="F214" s="620"/>
      <c r="G214" s="620"/>
      <c r="H214" s="620"/>
      <c r="I214" s="348"/>
      <c r="J214" s="454"/>
      <c r="K214" s="568"/>
    </row>
    <row r="215" spans="1:22">
      <c r="A215" s="346" t="str">
        <f>"- The average spend per head, nationally, in 2014/15 was £"&amp;ROUND('Per Capita Data - C&amp;F'!D39,0)</f>
        <v>- The average spend per head, nationally, in 2014/15 was £856</v>
      </c>
    </row>
    <row r="216" spans="1:22">
      <c r="A216" s="284" t="str">
        <f>"- The range of spend per head in 2014/15 was £"&amp;ROUND('Per Capita Data - C&amp;F'!D37,0)&amp;" to £"&amp;ROUND('Per Capita Data - C&amp;F'!D38,0)</f>
        <v>- The range of spend per head in 2014/15 was £380 to £1397</v>
      </c>
    </row>
    <row r="219" spans="1:22" ht="27" customHeight="1">
      <c r="A219" s="621" t="str">
        <f>"Figure " &amp; $L$219 &amp; " - "&amp; $C$5 &amp; " and Scotland's rate of children aged 0-17 looked after away from home"</f>
        <v>Figure 10 - Aberdeen City and Scotland's rate of children aged 0-17 looked after away from home</v>
      </c>
      <c r="B219" s="620"/>
      <c r="C219" s="620"/>
      <c r="D219" s="620"/>
      <c r="E219" s="620"/>
      <c r="F219" s="620"/>
      <c r="G219" s="620"/>
      <c r="H219" s="620"/>
      <c r="I219" s="348"/>
      <c r="J219" s="454"/>
      <c r="K219" s="568"/>
      <c r="L219" s="320">
        <f>$L$194+1</f>
        <v>10</v>
      </c>
    </row>
    <row r="222" spans="1:22">
      <c r="M222" s="1" t="s">
        <v>130</v>
      </c>
    </row>
    <row r="224" spans="1:22">
      <c r="M224" s="106"/>
      <c r="N224" s="91"/>
      <c r="O224" s="91">
        <v>2008</v>
      </c>
      <c r="P224" s="91">
        <v>2009</v>
      </c>
      <c r="Q224" s="91">
        <v>2010</v>
      </c>
      <c r="R224" s="91">
        <v>2011</v>
      </c>
      <c r="S224" s="91">
        <v>2012</v>
      </c>
      <c r="T224" s="91">
        <v>2013</v>
      </c>
      <c r="U224" s="91">
        <v>2014</v>
      </c>
      <c r="V224" s="91">
        <v>2015</v>
      </c>
    </row>
    <row r="225" spans="1:22">
      <c r="M225" s="629" t="str">
        <f>$C$5</f>
        <v>Aberdeen City</v>
      </c>
      <c r="N225" s="629"/>
      <c r="O225" s="93">
        <f>VLOOKUP($C$5,'Statistics - Children'!$A$13:$R$46,11)</f>
        <v>17.284609229127767</v>
      </c>
      <c r="P225" s="93">
        <f>VLOOKUP($C$5,'Statistics - Children'!$A$13:$R$46,12)</f>
        <v>18.568552659461751</v>
      </c>
      <c r="Q225" s="93">
        <f>VLOOKUP($C$5,'Statistics - Children'!$A$13:$R$46,13)</f>
        <v>18.115846764651749</v>
      </c>
      <c r="R225" s="93">
        <f>VLOOKUP($C$5,'Statistics - Children'!$A$13:$R$46,14)</f>
        <v>16.667099353565771</v>
      </c>
      <c r="S225" s="93">
        <f>VLOOKUP($C$5,'Statistics - Children'!$A$13:$R$46,15)</f>
        <v>16.520335877027435</v>
      </c>
      <c r="T225" s="93">
        <f>VLOOKUP($C$5,'Statistics - Children'!$A$13:$R$46,16)</f>
        <v>16.26496322937356</v>
      </c>
      <c r="U225" s="93">
        <f>VLOOKUP($C$5,'Statistics - Children'!$A$13:$R$46,17)</f>
        <v>15.438540161609676</v>
      </c>
      <c r="V225" s="93">
        <f>VLOOKUP($C$5,'Statistics - Children'!$A$13:$R$46,18)</f>
        <v>14.604948124501197</v>
      </c>
    </row>
    <row r="226" spans="1:22">
      <c r="M226" s="629" t="s">
        <v>5</v>
      </c>
      <c r="N226" s="629"/>
      <c r="O226" s="93">
        <f>'Statistics - Children'!K46</f>
        <v>13.967827215208604</v>
      </c>
      <c r="P226" s="93">
        <f>'Statistics - Children'!L46</f>
        <v>14.479393091471398</v>
      </c>
      <c r="Q226" s="93">
        <f>'Statistics - Children'!M46</f>
        <v>15.072729662897844</v>
      </c>
      <c r="R226" s="93">
        <f>'Statistics - Children'!N46</f>
        <v>15.478316000844062</v>
      </c>
      <c r="S226" s="93">
        <f>'Statistics - Children'!O46</f>
        <v>15.443478194112036</v>
      </c>
      <c r="T226" s="93">
        <f>'Statistics - Children'!P46</f>
        <v>15.291815604585233</v>
      </c>
      <c r="U226" s="93">
        <f>'Statistics - Children'!Q46</f>
        <v>15.047411903101622</v>
      </c>
      <c r="V226" s="93">
        <f>'Statistics - Children'!R46</f>
        <v>14.909265831900061</v>
      </c>
    </row>
    <row r="227" spans="1:22">
      <c r="N227" t="s">
        <v>160</v>
      </c>
      <c r="O227" s="90">
        <f>'Statistics - Children'!K47</f>
        <v>4.6183223056085971</v>
      </c>
      <c r="P227" s="90">
        <f>'Statistics - Children'!L47</f>
        <v>5.7964502359020447</v>
      </c>
      <c r="Q227" s="90">
        <f>'Statistics - Children'!M47</f>
        <v>6.180186778978209</v>
      </c>
      <c r="R227" s="90">
        <f>'Statistics - Children'!N47</f>
        <v>4.5500505561172906</v>
      </c>
      <c r="S227" s="90">
        <f>'Statistics - Children'!O47</f>
        <v>6.0760486083888665</v>
      </c>
      <c r="T227" s="90">
        <f>'Statistics - Children'!P47</f>
        <v>5.9880239520958085</v>
      </c>
      <c r="U227" s="90">
        <f>'Statistics - Children'!Q47</f>
        <v>6.2753036437246958</v>
      </c>
      <c r="V227" s="90">
        <f>'Statistics - Children'!R47</f>
        <v>7.0419138571359667</v>
      </c>
    </row>
    <row r="228" spans="1:22">
      <c r="N228" t="s">
        <v>161</v>
      </c>
      <c r="O228" s="90">
        <f>'Statistics - Children'!K48</f>
        <v>26.805652240735551</v>
      </c>
      <c r="P228" s="90">
        <f>'Statistics - Children'!L48</f>
        <v>28.847723932724932</v>
      </c>
      <c r="Q228" s="90">
        <f>'Statistics - Children'!M48</f>
        <v>31.26839917028234</v>
      </c>
      <c r="R228" s="90">
        <f>'Statistics - Children'!N48</f>
        <v>33.970796556608917</v>
      </c>
      <c r="S228" s="90">
        <f>'Statistics - Children'!O48</f>
        <v>33.682986908748717</v>
      </c>
      <c r="T228" s="90">
        <f>'Statistics - Children'!P48</f>
        <v>32.955611559757919</v>
      </c>
      <c r="U228" s="90">
        <f>'Statistics - Children'!Q48</f>
        <v>32.108200236413111</v>
      </c>
      <c r="V228" s="90">
        <f>'Statistics - Children'!R48</f>
        <v>31.213957490434431</v>
      </c>
    </row>
    <row r="235" spans="1:22" ht="9.75" customHeight="1"/>
    <row r="236" spans="1:22" ht="28.5" customHeight="1">
      <c r="A236" s="615" t="str">
        <f>"- At July 2015 in " &amp; $C$5 &amp; " there was a rate of " &amp; TEXT($V$225,"0.0") &amp; " children looked after per 1,000 population aged 0-17"</f>
        <v>- At July 2015 in Aberdeen City there was a rate of 14.6 children looked after per 1,000 population aged 0-17</v>
      </c>
      <c r="B236" s="615"/>
      <c r="C236" s="615"/>
      <c r="D236" s="615"/>
      <c r="E236" s="615"/>
      <c r="F236" s="615"/>
      <c r="G236" s="615"/>
      <c r="H236" s="615"/>
      <c r="I236" s="615"/>
      <c r="J236" s="453"/>
      <c r="K236" s="569"/>
    </row>
    <row r="237" spans="1:22">
      <c r="A237" s="284" t="str">
        <f>"- The average rate, nationally, was " &amp; TEXT($V$226,"0.0") &amp; " per 1,000 population aged 0-17"</f>
        <v>- The average rate, nationally, was 14.9 per 1,000 population aged 0-17</v>
      </c>
    </row>
    <row r="238" spans="1:22">
      <c r="A238" s="284" t="str">
        <f>"- The rates ranged from " &amp; TEXT(MIN('Statistics - Children'!$R$14:$R$45),"0.0") &amp; " to " &amp; TEXT(MAX('Statistics - Children'!$R$14:$R$45),"0.0") &amp; " per 1,000 population aged 0-17 as of July 2015"</f>
        <v>- The rates ranged from 7.0 to 31.2 per 1,000 population aged 0-17 as of July 2015</v>
      </c>
    </row>
    <row r="240" spans="1:22" ht="29.25" customHeight="1">
      <c r="A240" s="621" t="str">
        <f>"Figure " &amp; $L$240 &amp; " - " &amp; $C$5 &amp; "'s children aged 0-17 looked after away from home (age breakdown)"</f>
        <v>Figure 11 - Aberdeen City's children aged 0-17 looked after away from home (age breakdown)</v>
      </c>
      <c r="B240" s="620"/>
      <c r="C240" s="620"/>
      <c r="D240" s="620"/>
      <c r="E240" s="620"/>
      <c r="F240" s="620"/>
      <c r="G240" s="620"/>
      <c r="H240" s="620"/>
      <c r="I240" s="348"/>
      <c r="J240" s="454"/>
      <c r="K240" s="568"/>
      <c r="L240" s="320">
        <f>$L$219+1</f>
        <v>11</v>
      </c>
    </row>
    <row r="241" spans="1:24">
      <c r="A241" s="351"/>
      <c r="N241" s="189" t="s">
        <v>196</v>
      </c>
    </row>
    <row r="242" spans="1:24">
      <c r="N242" s="189" t="str">
        <f>"Children looked after away from home by age group (" &amp; $C$5 &amp; ")"</f>
        <v>Children looked after away from home by age group (Aberdeen City)</v>
      </c>
    </row>
    <row r="243" spans="1:24">
      <c r="A243" s="615"/>
      <c r="B243" s="615"/>
      <c r="C243" s="615"/>
      <c r="D243" s="615"/>
      <c r="E243" s="615"/>
      <c r="F243" s="615"/>
      <c r="G243" s="615"/>
      <c r="H243" s="615"/>
      <c r="I243" s="350"/>
      <c r="J243" s="453"/>
      <c r="K243" s="569"/>
      <c r="N243" s="666" t="str">
        <f>$C$5</f>
        <v>Aberdeen City</v>
      </c>
      <c r="O243" s="666"/>
      <c r="P243" s="666"/>
      <c r="Q243" s="666"/>
      <c r="R243" s="666"/>
    </row>
    <row r="244" spans="1:24">
      <c r="N244">
        <v>2007</v>
      </c>
      <c r="O244">
        <v>2008</v>
      </c>
      <c r="P244">
        <v>2009</v>
      </c>
      <c r="Q244">
        <v>2010</v>
      </c>
      <c r="R244">
        <v>2011</v>
      </c>
      <c r="S244">
        <v>2012</v>
      </c>
      <c r="T244">
        <v>2013</v>
      </c>
      <c r="U244">
        <v>2014</v>
      </c>
      <c r="V244">
        <v>2015</v>
      </c>
      <c r="W244" s="421" t="s">
        <v>390</v>
      </c>
    </row>
    <row r="245" spans="1:24">
      <c r="M245" t="s">
        <v>154</v>
      </c>
      <c r="N245" s="491">
        <f>VLOOKUP($C$5,'Statistics - Children'!$A$59:$Z$91,2,0)</f>
        <v>120</v>
      </c>
      <c r="O245" s="491">
        <f>VLOOKUP($C$5,'Statistics - Children'!$A$59:$Z$91,3,0)</f>
        <v>117</v>
      </c>
      <c r="P245" s="491">
        <f>VLOOKUP($C$5,'Statistics - Children'!$A$59:$Z$91,4,0)</f>
        <v>141</v>
      </c>
      <c r="Q245" s="491">
        <f>VLOOKUP($C$5,'Statistics - Children'!$A$59:$Z$91,5,0)</f>
        <v>117</v>
      </c>
      <c r="R245" s="491">
        <f>VLOOKUP($C$5,'Statistics - Children'!$A$59:$Z$91,6,0)</f>
        <v>115</v>
      </c>
      <c r="S245" s="491">
        <f>VLOOKUP($C$5,'Statistics - Children'!$A$59:$Z$91,7,0)</f>
        <v>125</v>
      </c>
      <c r="T245" s="491">
        <f>VLOOKUP($C$5,'Statistics - Children'!$A$59:$Z$91,8,0)</f>
        <v>117</v>
      </c>
      <c r="U245" s="491">
        <f>VLOOKUP($C$5,'Statistics - Children'!$A$59:$AB$91,9,0)</f>
        <v>116</v>
      </c>
      <c r="V245" s="491">
        <f>VLOOKUP($C$5,'Statistics - Children'!$A$59:$AB$91,10,0)</f>
        <v>108</v>
      </c>
      <c r="W245" s="18">
        <f>(V245-N245)/N245</f>
        <v>-0.1</v>
      </c>
      <c r="X245" t="str">
        <f>IF(W245&gt;0,"greater than",IF(W245&lt;0,"less than","the same as"))</f>
        <v>less than</v>
      </c>
    </row>
    <row r="246" spans="1:24">
      <c r="M246" s="16" t="s">
        <v>151</v>
      </c>
      <c r="N246" s="491">
        <f>VLOOKUP($C$5,'Statistics - Children'!$A$59:$Z$91,11,0)</f>
        <v>128</v>
      </c>
      <c r="O246" s="491">
        <f>VLOOKUP($C$5,'Statistics - Children'!$A$59:$Z$91,12,0)</f>
        <v>149</v>
      </c>
      <c r="P246" s="491">
        <f>VLOOKUP($C$5,'Statistics - Children'!$A$59:$Z$91,13,0)</f>
        <v>171</v>
      </c>
      <c r="Q246" s="491">
        <f>VLOOKUP($C$5,'Statistics - Children'!$A$59:$Z$91,14,0)</f>
        <v>175</v>
      </c>
      <c r="R246" s="491">
        <f>VLOOKUP($C$5,'Statistics - Children'!$A$59:$Z$91,15,0)</f>
        <v>173</v>
      </c>
      <c r="S246" s="491">
        <f>VLOOKUP($C$5,'Statistics - Children'!$A$59:$Z$91,16,0)</f>
        <v>168</v>
      </c>
      <c r="T246" s="491">
        <f>VLOOKUP($C$5,'Statistics - Children'!$A$59:$AB$91,17,0)</f>
        <v>164</v>
      </c>
      <c r="U246" s="491">
        <f>VLOOKUP($C$5,'Statistics - Children'!$A$59:$Z$91,18,0)</f>
        <v>148</v>
      </c>
      <c r="V246" s="491">
        <f>VLOOKUP($C$5,'Statistics - Children'!$A$59:$AB$91,19,0)</f>
        <v>146</v>
      </c>
      <c r="W246" s="18">
        <f>(V246-N246)/N246</f>
        <v>0.140625</v>
      </c>
      <c r="X246" t="str">
        <f>IF(W246&gt;0,"greater than",IF(W246&lt;0,"less than","the same as"))</f>
        <v>greater than</v>
      </c>
    </row>
    <row r="247" spans="1:24">
      <c r="M247" s="16" t="s">
        <v>152</v>
      </c>
      <c r="N247" s="491">
        <f>VLOOKUP($C$5,'Statistics - Children'!$A$59:$Z$91,20,0)</f>
        <v>169</v>
      </c>
      <c r="O247" s="491">
        <f>VLOOKUP($C$5,'Statistics - Children'!$A$59:$Z$91,21,0)</f>
        <v>178</v>
      </c>
      <c r="P247" s="491">
        <f>VLOOKUP($C$5,'Statistics - Children'!$A$59:$Z$91,22,0)</f>
        <v>169</v>
      </c>
      <c r="Q247" s="491">
        <f>VLOOKUP($C$5,'Statistics - Children'!$A$59:$Z$91,23,0)</f>
        <v>157</v>
      </c>
      <c r="R247" s="491">
        <f>VLOOKUP($C$5,'Statistics - Children'!$A$59:$Z$91,24,0)</f>
        <v>148</v>
      </c>
      <c r="S247" s="491">
        <f>VLOOKUP($C$5,'Statistics - Children'!$A$59:$Z$91,25,0)</f>
        <v>146</v>
      </c>
      <c r="T247" s="491">
        <f>VLOOKUP($C$5,'Statistics - Children'!$A$59:$Z$91,26,0)</f>
        <v>156</v>
      </c>
      <c r="U247" s="491">
        <f>VLOOKUP($C$5,'Statistics - Children'!$A$59:$AB$91,27,0)</f>
        <v>168</v>
      </c>
      <c r="V247" s="491">
        <f>VLOOKUP($C$5,'Statistics - Children'!$A$59:$AB$91,28,0)</f>
        <v>169</v>
      </c>
      <c r="W247" s="18">
        <f>(V247-N247)/N247</f>
        <v>0</v>
      </c>
      <c r="X247" t="str">
        <f>IF(W247&gt;0,"greater than",IF(W247&lt;0,"less than","the same as"))</f>
        <v>the same as</v>
      </c>
    </row>
    <row r="249" spans="1:24">
      <c r="N249" s="666" t="s">
        <v>5</v>
      </c>
      <c r="O249" s="666"/>
      <c r="P249" s="666"/>
      <c r="Q249" s="666"/>
      <c r="R249" s="666"/>
    </row>
    <row r="250" spans="1:24">
      <c r="N250">
        <v>2007</v>
      </c>
      <c r="O250">
        <v>2008</v>
      </c>
      <c r="P250">
        <v>2009</v>
      </c>
      <c r="Q250">
        <v>2010</v>
      </c>
      <c r="R250">
        <v>2011</v>
      </c>
      <c r="S250">
        <v>2012</v>
      </c>
      <c r="T250">
        <v>2013</v>
      </c>
      <c r="U250">
        <v>2014</v>
      </c>
      <c r="V250">
        <v>2015</v>
      </c>
      <c r="W250" s="421" t="s">
        <v>390</v>
      </c>
    </row>
    <row r="251" spans="1:24">
      <c r="M251" t="s">
        <v>154</v>
      </c>
      <c r="N251" s="491">
        <f>'Statistics - Children'!B91</f>
        <v>1722</v>
      </c>
      <c r="O251" s="491">
        <f>'Statistics - Children'!C91</f>
        <v>1872</v>
      </c>
      <c r="P251" s="491">
        <f>'Statistics - Children'!D91</f>
        <v>2161</v>
      </c>
      <c r="Q251" s="491">
        <f>'Statistics - Children'!E91</f>
        <v>2175</v>
      </c>
      <c r="R251" s="491">
        <f>'Statistics - Children'!F91</f>
        <v>2361</v>
      </c>
      <c r="S251" s="491">
        <f>'Statistics - Children'!G91</f>
        <v>2419</v>
      </c>
      <c r="T251" s="491">
        <f>'Statistics - Children'!H91</f>
        <v>2408</v>
      </c>
      <c r="U251" s="491">
        <f>'Statistics - Children'!I91</f>
        <v>2335</v>
      </c>
      <c r="V251" s="491">
        <f>'Statistics - Children'!J91</f>
        <v>2332</v>
      </c>
      <c r="W251" s="18">
        <f>(V251-N251)/N251</f>
        <v>0.35423925667828104</v>
      </c>
      <c r="X251" t="str">
        <f>IF(W251&gt;0,"n increase",IF(W251&lt;0," decrease","no change"))</f>
        <v>n increase</v>
      </c>
    </row>
    <row r="252" spans="1:24">
      <c r="M252" s="16" t="s">
        <v>151</v>
      </c>
      <c r="N252" s="491">
        <f>'Statistics - Children'!K91</f>
        <v>2808</v>
      </c>
      <c r="O252" s="491">
        <f>'Statistics - Children'!L91</f>
        <v>3088</v>
      </c>
      <c r="P252" s="491">
        <f>'Statistics - Children'!M91</f>
        <v>3483</v>
      </c>
      <c r="Q252" s="491">
        <f>'Statistics - Children'!N91</f>
        <v>3693</v>
      </c>
      <c r="R252" s="491">
        <f>'Statistics - Children'!O91</f>
        <v>4185</v>
      </c>
      <c r="S252" s="491">
        <f>'Statistics - Children'!P91</f>
        <v>4253</v>
      </c>
      <c r="T252" s="491">
        <f>'Statistics - Children'!Q91</f>
        <v>4201</v>
      </c>
      <c r="U252" s="491">
        <f>'Statistics - Children'!R91</f>
        <v>4255</v>
      </c>
      <c r="V252" s="491">
        <f>'Statistics - Children'!S91</f>
        <v>4180</v>
      </c>
      <c r="W252" s="18">
        <f>(V252-N252)/N252</f>
        <v>0.48860398860398863</v>
      </c>
      <c r="X252" t="str">
        <f>IF(W252&gt;0,"n increase",IF(W252&lt;0," decrease","no change"))</f>
        <v>n increase</v>
      </c>
    </row>
    <row r="253" spans="1:24">
      <c r="M253" s="16" t="s">
        <v>152</v>
      </c>
      <c r="N253" s="491">
        <f>'Statistics - Children'!T91</f>
        <v>3356</v>
      </c>
      <c r="O253" s="491">
        <f>'Statistics - Children'!U91</f>
        <v>3420</v>
      </c>
      <c r="P253" s="491">
        <f>'Statistics - Children'!V91</f>
        <v>3602</v>
      </c>
      <c r="Q253" s="491">
        <f>'Statistics - Children'!W91</f>
        <v>3693</v>
      </c>
      <c r="R253" s="491">
        <f>'Statistics - Children'!X91</f>
        <v>4068</v>
      </c>
      <c r="S253" s="491">
        <f>'Statistics - Children'!Y91</f>
        <v>4289</v>
      </c>
      <c r="T253" s="491">
        <f>'Statistics - Children'!Z91</f>
        <v>4527</v>
      </c>
      <c r="U253" s="491">
        <f>'Statistics - Children'!AA91</f>
        <v>4632</v>
      </c>
      <c r="V253" s="491">
        <f>'Statistics - Children'!AB91</f>
        <v>4726</v>
      </c>
      <c r="W253" s="18">
        <f>(V253-N253)/N253</f>
        <v>0.40822407628128726</v>
      </c>
      <c r="X253" t="str">
        <f>IF(W253&gt;0,"n increase",IF(W253&lt;0," decrease","no change"))</f>
        <v>n increase</v>
      </c>
    </row>
    <row r="255" spans="1:24" ht="15.75" customHeight="1"/>
    <row r="256" spans="1:24" ht="15.75" customHeight="1"/>
    <row r="257" spans="1:12" ht="27.75" customHeight="1">
      <c r="A257" s="614" t="str">
        <f>IF($C$5="Scottish Borders","Please note that Scottish Borders did not provide information in time for inclusion in publication. The previous years figures have been used."," ")</f>
        <v xml:space="preserve"> </v>
      </c>
      <c r="B257" s="614"/>
      <c r="C257" s="614"/>
      <c r="D257" s="614"/>
      <c r="E257" s="614"/>
      <c r="F257" s="614"/>
      <c r="G257" s="614"/>
      <c r="H257" s="614"/>
      <c r="I257" s="352"/>
      <c r="J257" s="470"/>
      <c r="K257" s="589"/>
    </row>
    <row r="259" spans="1:12">
      <c r="A259" s="621" t="str">
        <f>"Figure " &amp; $L$259 &amp; " - Scotland's children aged 0-17 looked after away from home (age breakdown)"</f>
        <v>Figure 12 - Scotland's children aged 0-17 looked after away from home (age breakdown)</v>
      </c>
      <c r="B259" s="620"/>
      <c r="C259" s="620"/>
      <c r="D259" s="620"/>
      <c r="E259" s="620"/>
      <c r="F259" s="620"/>
      <c r="G259" s="620"/>
      <c r="H259" s="620"/>
      <c r="I259" s="348"/>
      <c r="J259" s="454"/>
      <c r="K259" s="568"/>
      <c r="L259" s="320">
        <f>L240+1</f>
        <v>12</v>
      </c>
    </row>
    <row r="260" spans="1:12" ht="15.75" customHeight="1"/>
    <row r="276" spans="1:12" ht="44.25" customHeight="1">
      <c r="A276" s="615" t="str">
        <f>"- At 31 July 2015, in " &amp;$C$5 &amp; ", there were " &amp;$V$245 &amp; " children looked after away from home aged 0-4, this was " &amp;$X$245 &amp; " the 2007 figure of " &amp; $N$245 &amp; " (a change of " &amp; TEXT($W$245,"0%") &amp;").  In Scotland over the same period there was a" &amp; $X$251 &amp; " of " &amp; TEXT(ABS($W$251),"0%")</f>
        <v>- At 31 July 2015, in Aberdeen City, there were 108 children looked after away from home aged 0-4, this was less than the 2007 figure of 120 (a change of -10%).  In Scotland over the same period there was an increase of 35%</v>
      </c>
      <c r="B276" s="615"/>
      <c r="C276" s="615"/>
      <c r="D276" s="615"/>
      <c r="E276" s="615"/>
      <c r="F276" s="615"/>
      <c r="G276" s="615"/>
      <c r="H276" s="615"/>
      <c r="I276" s="615"/>
      <c r="J276" s="453"/>
      <c r="K276" s="569"/>
    </row>
    <row r="277" spans="1:12" ht="42" customHeight="1">
      <c r="A277" s="615" t="str">
        <f>"- At 31 July 2015 in " &amp;$C$5 &amp; " there were " &amp;$V$246 &amp; " children looked after away from home aged 5-11, this was " &amp;$X$246 &amp; " the 2007 figure of " &amp; $N$246 &amp; " (a change of " &amp; TEXT($W$246,"0%") &amp;").  In Scotland over the same period there was a" &amp; $X$252 &amp; " of " &amp; TEXT(ABS($W$252),"0%")</f>
        <v>- At 31 July 2015 in Aberdeen City there were 146 children looked after away from home aged 5-11, this was greater than the 2007 figure of 128 (a change of 14%).  In Scotland over the same period there was an increase of 49%</v>
      </c>
      <c r="B277" s="615"/>
      <c r="C277" s="615"/>
      <c r="D277" s="615"/>
      <c r="E277" s="615"/>
      <c r="F277" s="615"/>
      <c r="G277" s="615"/>
      <c r="H277" s="615"/>
      <c r="I277" s="615"/>
      <c r="J277" s="453"/>
      <c r="K277" s="569"/>
    </row>
    <row r="278" spans="1:12" ht="40.5" customHeight="1">
      <c r="A278" s="615" t="str">
        <f>"- At 31 July 2015 in " &amp;$C$5 &amp; " there were " &amp;$V$247 &amp; " children looked after away from home aged 12-17, this was " &amp;$X$247 &amp; " the 2007 figure of " &amp; $N$247 &amp; " (a change of " &amp; TEXT($W$247,"0%") &amp;").  In Scotland over the same period there was a" &amp; $X$253 &amp; " of " &amp; TEXT(ABS($W$253),"0%")</f>
        <v>- At 31 July 2015 in Aberdeen City there were 169 children looked after away from home aged 12-17, this was the same as the 2007 figure of 169 (a change of 0%).  In Scotland over the same period there was an increase of 41%</v>
      </c>
      <c r="B278" s="615"/>
      <c r="C278" s="615"/>
      <c r="D278" s="615"/>
      <c r="E278" s="615"/>
      <c r="F278" s="615"/>
      <c r="G278" s="615"/>
      <c r="H278" s="615"/>
      <c r="I278" s="615"/>
      <c r="J278" s="453"/>
      <c r="K278" s="569"/>
    </row>
    <row r="279" spans="1:12">
      <c r="A279" s="348"/>
      <c r="B279" s="348"/>
      <c r="C279" s="348"/>
      <c r="D279" s="348"/>
      <c r="E279" s="348"/>
      <c r="F279" s="348"/>
      <c r="G279" s="348"/>
      <c r="H279" s="348"/>
      <c r="I279" s="348"/>
      <c r="J279" s="454"/>
      <c r="K279" s="568"/>
    </row>
    <row r="280" spans="1:12" ht="40.5" customHeight="1">
      <c r="A280" s="642" t="s">
        <v>193</v>
      </c>
      <c r="B280" s="642"/>
      <c r="C280" s="642"/>
      <c r="D280" s="642"/>
      <c r="E280" s="642"/>
      <c r="F280" s="642"/>
      <c r="G280" s="642"/>
      <c r="H280" s="642"/>
      <c r="I280" s="642"/>
      <c r="J280" s="464"/>
      <c r="K280" s="584"/>
    </row>
    <row r="283" spans="1:12">
      <c r="A283" s="293" t="str">
        <f>"Figure " &amp; $L$283 &amp; " - Balance of care, children looked after at and away from home across Scotland"</f>
        <v>Figure 13 - Balance of care, children looked after at and away from home across Scotland</v>
      </c>
      <c r="L283" s="320">
        <f>$L$259+1</f>
        <v>13</v>
      </c>
    </row>
    <row r="303" spans="1:11" ht="28.5" customHeight="1">
      <c r="A303" s="615" t="str">
        <f>"- At July 2015, balance of children looked after at and away from home as a rate per 1,000 population aged 0-17 was as follows:"</f>
        <v>- At July 2015, balance of children looked after at and away from home as a rate per 1,000 population aged 0-17 was as follows:</v>
      </c>
      <c r="B303" s="615"/>
      <c r="C303" s="615"/>
      <c r="D303" s="615"/>
      <c r="E303" s="615"/>
      <c r="F303" s="615"/>
      <c r="G303" s="615"/>
      <c r="H303" s="615"/>
      <c r="I303" s="615"/>
      <c r="J303" s="453"/>
      <c r="K303" s="569"/>
    </row>
    <row r="304" spans="1:11" ht="38.25" customHeight="1">
      <c r="A304" s="615" t="str">
        <f>"      - In " &amp; $C$5 &amp; " there were " &amp; TEXT('Statistics - Children'!$K$132,"0.0") &amp; " children looked after away from home per 1,000 which was equal to " &amp; TEXT('Statistics - Children'!$K$134,"0%") &amp; " of children looked after aged 0-17 (in Scotland " &amp; TEXT('Statistics - Children'!$K$135,"0%") &amp; " of children were looked after away from home)."</f>
        <v xml:space="preserve">      - In Aberdeen City there were 11.3 children looked after away from home per 1,000 which was equal to 77% of children looked after aged 0-17 (in Scotland 73% of children were looked after away from home).</v>
      </c>
      <c r="B304" s="615"/>
      <c r="C304" s="615"/>
      <c r="D304" s="615"/>
      <c r="E304" s="615"/>
      <c r="F304" s="615"/>
      <c r="G304" s="615"/>
      <c r="H304" s="615"/>
      <c r="I304" s="615"/>
      <c r="J304" s="453"/>
      <c r="K304" s="569"/>
    </row>
    <row r="305" spans="1:12" ht="39.75" customHeight="1">
      <c r="A305" s="615" t="str">
        <f>"      - In " &amp; $C$5 &amp; " there were " &amp; TEXT('Statistics - Children'!$L$132,"0.0") &amp; " children looked after at home per 1,000 which was equal to " &amp; TEXT('Statistics - Children'!$L$134,"0%") &amp; " of children looked after aged 0-17 (in Scotland " &amp; TEXT('Statistics - Children'!$L$135,"0%") &amp; " of children were looked after at home)."</f>
        <v xml:space="preserve">      - In Aberdeen City there were 3.4 children looked after at home per 1,000 which was equal to 23% of children looked after aged 0-17 (in Scotland 27% of children were looked after at home).</v>
      </c>
      <c r="B305" s="615"/>
      <c r="C305" s="615"/>
      <c r="D305" s="615"/>
      <c r="E305" s="615"/>
      <c r="F305" s="615"/>
      <c r="G305" s="615"/>
      <c r="H305" s="615"/>
      <c r="I305" s="615"/>
      <c r="J305" s="453"/>
      <c r="K305" s="569"/>
    </row>
    <row r="306" spans="1:12" ht="24" customHeight="1">
      <c r="A306" s="621" t="str">
        <f>"Figure " &amp; $L$306 &amp; " - Rates of children aged 0-17 looked after away from home across Scotland"</f>
        <v>Figure 14 - Rates of children aged 0-17 looked after away from home across Scotland</v>
      </c>
      <c r="B306" s="620"/>
      <c r="C306" s="620"/>
      <c r="D306" s="620"/>
      <c r="E306" s="620"/>
      <c r="F306" s="620"/>
      <c r="G306" s="620"/>
      <c r="H306" s="620"/>
      <c r="I306" s="348"/>
      <c r="J306" s="454"/>
      <c r="K306" s="568"/>
      <c r="L306" s="320">
        <f>$L$283+1</f>
        <v>14</v>
      </c>
    </row>
    <row r="325" spans="1:12" ht="29.25" customHeight="1">
      <c r="A325" s="615" t="str">
        <f>"- As of July 2015, in "&amp;$C$5&amp;", the rate of children looked after away from home was " &amp; TEXT('Statistics - Children'!$C$173,"0.0") &amp; " per 1,000 population aged 0-17"</f>
        <v>- As of July 2015, in Aberdeen City, the rate of children looked after away from home was 11.3 per 1,000 population aged 0-17</v>
      </c>
      <c r="B325" s="615"/>
      <c r="C325" s="615"/>
      <c r="D325" s="615"/>
      <c r="E325" s="615"/>
      <c r="F325" s="615"/>
      <c r="G325" s="615"/>
      <c r="H325" s="615"/>
      <c r="I325" s="615"/>
      <c r="J325" s="453"/>
      <c r="K325" s="569"/>
    </row>
    <row r="326" spans="1:12" ht="29.25" customHeight="1">
      <c r="A326" s="615" t="str">
        <f>"- The rate, nationally, of children looked after away from home was " &amp; TEXT('Statistics - Children'!$D$171,"0.0") &amp; " per 1,000 population aged 0-17 (represented by the horizontal line)"</f>
        <v>- The rate, nationally, of children looked after away from home was 10.9 per 1,000 population aged 0-17 (represented by the horizontal line)</v>
      </c>
      <c r="B326" s="615"/>
      <c r="C326" s="615"/>
      <c r="D326" s="615"/>
      <c r="E326" s="615"/>
      <c r="F326" s="615"/>
      <c r="G326" s="615"/>
      <c r="H326" s="615"/>
      <c r="I326" s="615"/>
      <c r="J326" s="453"/>
      <c r="K326" s="569"/>
    </row>
    <row r="327" spans="1:12" ht="29.25" customHeight="1">
      <c r="A327" s="615" t="str">
        <f>"- Rates of children looked after away from home in Scotland ranged from " &amp; TEXT(MIN('Statistics - Children'!$B$140:$B$171),"0.0") &amp; " to " &amp; TEXT(MAX('Statistics - Children'!$B$140:$B$171),"0.0") &amp; " per 1,000 population aged 0-17"</f>
        <v>- Rates of children looked after away from home in Scotland ranged from 3.4 to 24.5 per 1,000 population aged 0-17</v>
      </c>
      <c r="B327" s="615"/>
      <c r="C327" s="615"/>
      <c r="D327" s="615"/>
      <c r="E327" s="615"/>
      <c r="F327" s="615"/>
      <c r="G327" s="615"/>
      <c r="H327" s="615"/>
      <c r="I327" s="615"/>
      <c r="J327" s="453"/>
      <c r="K327" s="569"/>
    </row>
    <row r="328" spans="1:12" ht="27.75" customHeight="1">
      <c r="A328" s="621" t="str">
        <f>"Figure " &amp; $L$328 &amp; " - Children aged 0-17 looked after away from home by placement type in 2015"</f>
        <v>Figure 15 - Children aged 0-17 looked after away from home by placement type in 2015</v>
      </c>
      <c r="B328" s="628"/>
      <c r="C328" s="628"/>
      <c r="D328" s="628"/>
      <c r="E328" s="628"/>
      <c r="F328" s="628"/>
      <c r="G328" s="628"/>
      <c r="H328" s="628"/>
      <c r="I328" s="353"/>
      <c r="J328" s="461"/>
      <c r="K328" s="581"/>
      <c r="L328" s="320">
        <f>$L$306+1</f>
        <v>15</v>
      </c>
    </row>
    <row r="357" spans="1:13" ht="28.5" customHeight="1">
      <c r="A357" s="615" t="str">
        <f>"- At July 2015, in " &amp; $C$5 &amp; ", placements for children looked after away from home per 1,000 population aged 0-17 were as follows:"</f>
        <v>- At July 2015, in Aberdeen City, placements for children looked after away from home per 1,000 population aged 0-17 were as follows:</v>
      </c>
      <c r="B357" s="615"/>
      <c r="C357" s="615"/>
      <c r="D357" s="615"/>
      <c r="E357" s="615"/>
      <c r="F357" s="615"/>
      <c r="G357" s="615"/>
      <c r="H357" s="615"/>
      <c r="I357" s="615"/>
      <c r="J357" s="453"/>
      <c r="K357" s="569"/>
    </row>
    <row r="358" spans="1:13" ht="12.75" customHeight="1">
      <c r="A358" s="615" t="str">
        <f>"      - "&amp;TEXT('Statistics - Children'!S217,"0%")&amp;" (" &amp; TEXT('Statistics - Children'!$S$216,"0.0") &amp; " per 1,000) in residential placements.  Scotland's rate was "&amp;TEXT('Statistics - Children'!H214,"0%")&amp;" (" &amp; TEXT('Statistics - Children'!$H$213,"0.0") &amp;" per 1,000)"</f>
        <v xml:space="preserve">      - 14% (1.6 per 1,000) in residential placements.  Scotland's rate was 13% (1.4 per 1,000)</v>
      </c>
      <c r="B358" s="615"/>
      <c r="C358" s="615"/>
      <c r="D358" s="615"/>
      <c r="E358" s="615"/>
      <c r="F358" s="615"/>
      <c r="G358" s="615"/>
      <c r="H358" s="615"/>
      <c r="I358" s="615"/>
      <c r="J358" s="453"/>
      <c r="K358" s="569"/>
    </row>
    <row r="359" spans="1:13" ht="12.75" customHeight="1">
      <c r="A359" s="615" t="str">
        <f>"      - "&amp;TEXT('Statistics - Children'!T217,"0%")&amp;"  (" &amp; TEXT('Statistics - Children'!$T$216,"0.0") &amp; " per 1,000) in directly provided foster care.  Scotland's rate was "&amp;TEXT('Statistics - Children'!I214,"0%")&amp;" (" &amp; TEXT('Statistics - Children'!$I$213,"0.0") &amp; " per 1,000 )"</f>
        <v xml:space="preserve">      - 26%  (3.0 per 1,000) in directly provided foster care.  Scotland's rate was 34% (3.7 per 1,000 )</v>
      </c>
      <c r="B359" s="615"/>
      <c r="C359" s="615"/>
      <c r="D359" s="615"/>
      <c r="E359" s="615"/>
      <c r="F359" s="615"/>
      <c r="G359" s="615"/>
      <c r="H359" s="615"/>
      <c r="I359" s="615"/>
      <c r="J359" s="453"/>
      <c r="K359" s="569"/>
    </row>
    <row r="360" spans="1:13" ht="12.75" customHeight="1">
      <c r="A360" s="615" t="str">
        <f>"      - "&amp;TEXT('Statistics - Children'!U217,"0%")&amp;"  (" &amp; TEXT('Statistics - Children'!$U$216,"0.0") &amp; " per 1,000) in directly purchased foster care.  Scotland's rate was "&amp;TEXT('Statistics - Children'!J214,"0%")&amp;" (" &amp; TEXT('Statistics - Children'!$J$213,"0.0") &amp; " per 1,000 )"</f>
        <v xml:space="preserve">      - 32%  (3.6 per 1,000) in directly purchased foster care.  Scotland's rate was 14% (1.5 per 1,000 )</v>
      </c>
      <c r="B360" s="615"/>
      <c r="C360" s="615"/>
      <c r="D360" s="615"/>
      <c r="E360" s="615"/>
      <c r="F360" s="615"/>
      <c r="G360" s="615"/>
      <c r="H360" s="615"/>
      <c r="I360" s="615"/>
      <c r="J360" s="453"/>
      <c r="K360" s="569"/>
    </row>
    <row r="361" spans="1:13" ht="12.75" customHeight="1">
      <c r="A361" s="615" t="str">
        <f>"      - "&amp;TEXT('Statistics - Children'!V217,"0%")&amp;"  (" &amp; TEXT('Statistics - Children'!$V$216,"0.0") &amp; " per 1,000) with relatives or friends.  Scotland's rate was "&amp;TEXT('Statistics - Children'!K214,"0%")&amp;" (" &amp; TEXT('Statistics - Children'!$K$213,"0.0") &amp; " per 1,000 )"</f>
        <v xml:space="preserve">      - 24%  (2.7 per 1,000) with relatives or friends.  Scotland's rate was 37% (4.0 per 1,000 )</v>
      </c>
      <c r="B361" s="615"/>
      <c r="C361" s="615"/>
      <c r="D361" s="615"/>
      <c r="E361" s="615"/>
      <c r="F361" s="615"/>
      <c r="G361" s="615"/>
      <c r="H361" s="615"/>
      <c r="I361" s="615"/>
      <c r="J361" s="453"/>
      <c r="K361" s="569"/>
    </row>
    <row r="362" spans="1:13" ht="12.75" customHeight="1">
      <c r="A362" s="615" t="str">
        <f>"      - "&amp;TEXT('Statistics - Children'!W217,"0%")&amp;"  (" &amp; TEXT('Statistics - Children'!$W$216,"0.0") &amp; " per 1,000) population in an other placement.  Scotland's rate was "&amp;TEXT('Statistics - Children'!L214,"0%")&amp;" (" &amp; TEXT('Statistics - Children'!$L$213,"0.0") &amp; " per 1,000 )"</f>
        <v xml:space="preserve">      - 4%  (0.4 per 1,000) population in an other placement.  Scotland's rate was 3% (0.3 per 1,000 )</v>
      </c>
      <c r="B362" s="615"/>
      <c r="C362" s="615"/>
      <c r="D362" s="615"/>
      <c r="E362" s="615"/>
      <c r="F362" s="615"/>
      <c r="G362" s="615"/>
      <c r="H362" s="615"/>
      <c r="I362" s="615"/>
      <c r="J362" s="453"/>
      <c r="K362" s="569"/>
    </row>
    <row r="363" spans="1:13" ht="35.25" customHeight="1">
      <c r="A363" s="627" t="s">
        <v>376</v>
      </c>
      <c r="B363" s="627"/>
      <c r="C363" s="627"/>
      <c r="D363" s="627"/>
      <c r="E363" s="627"/>
      <c r="F363" s="627"/>
      <c r="G363" s="627"/>
      <c r="H363" s="627"/>
      <c r="I363" s="627"/>
      <c r="J363" s="469"/>
      <c r="K363" s="588"/>
    </row>
    <row r="364" spans="1:13" ht="27" customHeight="1">
      <c r="A364" s="621" t="str">
        <f>"Figure "&amp;$L$364&amp;" - Breakdown of children looked after in residential placements across Scotland"</f>
        <v>Figure 16 - Breakdown of children looked after in residential placements across Scotland</v>
      </c>
      <c r="B364" s="628"/>
      <c r="C364" s="628"/>
      <c r="D364" s="628"/>
      <c r="E364" s="628"/>
      <c r="F364" s="628"/>
      <c r="G364" s="628"/>
      <c r="H364" s="628"/>
      <c r="I364" s="353"/>
      <c r="J364" s="461"/>
      <c r="K364" s="581"/>
      <c r="L364" s="320">
        <f>$L$328+1</f>
        <v>16</v>
      </c>
    </row>
    <row r="365" spans="1:13" ht="13.5" customHeight="1">
      <c r="A365" s="354"/>
      <c r="B365" s="354"/>
      <c r="C365" s="354"/>
      <c r="D365" s="354"/>
      <c r="E365" s="354"/>
      <c r="F365" s="354"/>
      <c r="G365" s="354"/>
      <c r="H365" s="354"/>
      <c r="I365" s="354"/>
      <c r="J365" s="354"/>
      <c r="K365" s="354"/>
      <c r="M365" s="13"/>
    </row>
    <row r="366" spans="1:13" ht="13.5" customHeight="1">
      <c r="A366" s="354"/>
      <c r="B366" s="354"/>
      <c r="C366" s="354"/>
      <c r="D366" s="354"/>
      <c r="E366" s="354"/>
      <c r="F366" s="354"/>
      <c r="G366" s="354"/>
      <c r="H366" s="354"/>
      <c r="I366" s="354"/>
      <c r="J366" s="354"/>
      <c r="K366" s="354"/>
      <c r="M366" s="13"/>
    </row>
    <row r="367" spans="1:13" ht="13.5" customHeight="1">
      <c r="A367" s="354"/>
      <c r="B367" s="354"/>
      <c r="C367" s="354"/>
      <c r="D367" s="354"/>
      <c r="E367" s="354"/>
      <c r="F367" s="354"/>
      <c r="G367" s="354"/>
      <c r="H367" s="354"/>
      <c r="I367" s="354"/>
      <c r="J367" s="354"/>
      <c r="K367" s="354"/>
      <c r="M367" s="13"/>
    </row>
    <row r="368" spans="1:13" ht="13.5" customHeight="1">
      <c r="A368" s="354"/>
      <c r="B368" s="354"/>
      <c r="C368" s="354"/>
      <c r="D368" s="354"/>
      <c r="E368" s="354"/>
      <c r="F368" s="354"/>
      <c r="G368" s="354"/>
      <c r="H368" s="354"/>
      <c r="I368" s="354"/>
      <c r="J368" s="354"/>
      <c r="K368" s="354"/>
      <c r="M368" s="13"/>
    </row>
    <row r="369" spans="1:16" ht="13.5" customHeight="1">
      <c r="A369" s="354"/>
      <c r="B369" s="354"/>
      <c r="C369" s="354"/>
      <c r="D369" s="354"/>
      <c r="E369" s="354"/>
      <c r="F369" s="354"/>
      <c r="G369" s="354"/>
      <c r="H369" s="354"/>
      <c r="I369" s="354"/>
      <c r="J369" s="354"/>
      <c r="K369" s="354"/>
      <c r="M369" s="13"/>
    </row>
    <row r="370" spans="1:16" ht="13.5" customHeight="1">
      <c r="A370" s="354"/>
      <c r="B370" s="354"/>
      <c r="C370" s="354"/>
      <c r="D370" s="354"/>
      <c r="E370" s="354"/>
      <c r="F370" s="354"/>
      <c r="G370" s="354"/>
      <c r="H370" s="354"/>
      <c r="I370" s="354"/>
      <c r="J370" s="354"/>
      <c r="K370" s="354"/>
      <c r="M370" s="13"/>
    </row>
    <row r="371" spans="1:16" ht="13.5" customHeight="1">
      <c r="A371" s="354"/>
      <c r="B371" s="354"/>
      <c r="C371" s="354"/>
      <c r="D371" s="354"/>
      <c r="E371" s="354"/>
      <c r="F371" s="354"/>
      <c r="G371" s="354"/>
      <c r="H371" s="354"/>
      <c r="I371" s="354"/>
      <c r="J371" s="354"/>
      <c r="K371" s="354"/>
      <c r="M371" s="13"/>
    </row>
    <row r="372" spans="1:16" ht="13.5" customHeight="1">
      <c r="A372" s="354"/>
      <c r="B372" s="354"/>
      <c r="C372" s="354"/>
      <c r="D372" s="354"/>
      <c r="E372" s="354"/>
      <c r="F372" s="354"/>
      <c r="G372" s="354"/>
      <c r="H372" s="354"/>
      <c r="I372" s="354"/>
      <c r="J372" s="354"/>
      <c r="K372" s="354"/>
      <c r="M372" s="13"/>
      <c r="N372" s="13"/>
      <c r="O372" s="13"/>
      <c r="P372" s="13"/>
    </row>
    <row r="373" spans="1:16" ht="13.5" customHeight="1">
      <c r="A373" s="354"/>
      <c r="B373" s="354"/>
      <c r="C373" s="354"/>
      <c r="D373" s="354"/>
      <c r="E373" s="354"/>
      <c r="F373" s="354"/>
      <c r="G373" s="354"/>
      <c r="H373" s="354"/>
      <c r="I373" s="354"/>
      <c r="J373" s="354"/>
      <c r="K373" s="354"/>
      <c r="M373" s="13"/>
      <c r="N373" s="13"/>
      <c r="O373" s="13"/>
      <c r="P373" s="13"/>
    </row>
    <row r="374" spans="1:16" ht="13.5" customHeight="1">
      <c r="A374" s="354"/>
      <c r="B374" s="354"/>
      <c r="C374" s="354"/>
      <c r="D374" s="354"/>
      <c r="E374" s="354"/>
      <c r="F374" s="354"/>
      <c r="G374" s="354"/>
      <c r="H374" s="354"/>
      <c r="I374" s="354"/>
      <c r="J374" s="354"/>
      <c r="K374" s="354"/>
      <c r="M374" s="13"/>
      <c r="N374" s="13"/>
      <c r="O374" s="13"/>
      <c r="P374" s="13"/>
    </row>
    <row r="375" spans="1:16" ht="13.5" customHeight="1">
      <c r="A375" s="354"/>
      <c r="B375" s="354"/>
      <c r="C375" s="354"/>
      <c r="D375" s="354"/>
      <c r="E375" s="354"/>
      <c r="F375" s="354"/>
      <c r="G375" s="354"/>
      <c r="H375" s="354"/>
      <c r="I375" s="354"/>
      <c r="J375" s="354"/>
      <c r="K375" s="354"/>
      <c r="M375" s="13"/>
      <c r="N375" s="13"/>
      <c r="O375" s="13"/>
      <c r="P375" s="13"/>
    </row>
    <row r="376" spans="1:16" ht="13.5" customHeight="1">
      <c r="A376" s="354"/>
      <c r="B376" s="354"/>
      <c r="C376" s="354"/>
      <c r="D376" s="354"/>
      <c r="E376" s="354"/>
      <c r="F376" s="354"/>
      <c r="G376" s="354"/>
      <c r="H376" s="354"/>
      <c r="I376" s="354"/>
      <c r="J376" s="354"/>
      <c r="K376" s="354"/>
      <c r="M376" s="13"/>
      <c r="N376" s="13"/>
      <c r="O376" s="13"/>
      <c r="P376" s="13"/>
    </row>
    <row r="377" spans="1:16" ht="13.5" customHeight="1">
      <c r="A377" s="354"/>
      <c r="B377" s="354"/>
      <c r="C377" s="354"/>
      <c r="D377" s="354"/>
      <c r="E377" s="354"/>
      <c r="F377" s="354"/>
      <c r="G377" s="354"/>
      <c r="H377" s="354"/>
      <c r="I377" s="354"/>
      <c r="J377" s="354"/>
      <c r="K377" s="354"/>
      <c r="M377" s="13"/>
      <c r="N377" s="13"/>
      <c r="O377" s="13"/>
      <c r="P377" s="13"/>
    </row>
    <row r="378" spans="1:16" ht="13.5" customHeight="1">
      <c r="A378" s="354"/>
      <c r="B378" s="354"/>
      <c r="C378" s="354"/>
      <c r="D378" s="354"/>
      <c r="E378" s="354"/>
      <c r="F378" s="354"/>
      <c r="G378" s="354"/>
      <c r="H378" s="354"/>
      <c r="I378" s="354"/>
      <c r="J378" s="354"/>
      <c r="K378" s="354"/>
      <c r="M378" s="13"/>
      <c r="N378" s="13"/>
      <c r="O378" s="13"/>
      <c r="P378" s="13"/>
    </row>
    <row r="379" spans="1:16" ht="13.5" customHeight="1">
      <c r="A379" s="354"/>
      <c r="B379" s="354"/>
      <c r="C379" s="354"/>
      <c r="D379" s="354"/>
      <c r="E379" s="354"/>
      <c r="F379" s="354"/>
      <c r="G379" s="354"/>
      <c r="H379" s="354"/>
      <c r="I379" s="354"/>
      <c r="J379" s="354"/>
      <c r="K379" s="354"/>
      <c r="M379" s="13"/>
      <c r="N379" s="13"/>
      <c r="O379" s="13"/>
      <c r="P379" s="13"/>
    </row>
    <row r="380" spans="1:16" ht="13.5" customHeight="1">
      <c r="A380" s="354"/>
      <c r="B380" s="354"/>
      <c r="C380" s="354"/>
      <c r="D380" s="354"/>
      <c r="E380" s="354"/>
      <c r="F380" s="354"/>
      <c r="G380" s="354"/>
      <c r="H380" s="354"/>
      <c r="I380" s="354"/>
      <c r="J380" s="354"/>
      <c r="K380" s="354"/>
      <c r="M380" s="13"/>
      <c r="N380" s="13"/>
      <c r="O380" s="13"/>
      <c r="P380" s="13"/>
    </row>
    <row r="381" spans="1:16" ht="13.5" customHeight="1">
      <c r="A381" s="354"/>
      <c r="B381" s="354"/>
      <c r="C381" s="354"/>
      <c r="D381" s="354"/>
      <c r="E381" s="354"/>
      <c r="F381" s="354"/>
      <c r="G381" s="354"/>
      <c r="H381" s="354"/>
      <c r="I381" s="354"/>
      <c r="J381" s="354"/>
      <c r="K381" s="354"/>
      <c r="M381" s="13"/>
      <c r="N381" s="13"/>
      <c r="O381" s="13"/>
      <c r="P381" s="13"/>
    </row>
    <row r="382" spans="1:16" ht="13.5" customHeight="1">
      <c r="A382" s="354"/>
      <c r="B382" s="354"/>
      <c r="C382" s="354"/>
      <c r="D382" s="354"/>
      <c r="E382" s="354"/>
      <c r="F382" s="354"/>
      <c r="G382" s="354"/>
      <c r="H382" s="354"/>
      <c r="I382" s="354"/>
      <c r="J382" s="354"/>
      <c r="K382" s="354"/>
    </row>
    <row r="383" spans="1:16" ht="13.5" customHeight="1">
      <c r="A383" s="354"/>
      <c r="B383" s="354"/>
      <c r="C383" s="354"/>
      <c r="D383" s="354"/>
      <c r="E383" s="354"/>
      <c r="F383" s="354"/>
      <c r="G383" s="354"/>
      <c r="H383" s="354"/>
      <c r="I383" s="354"/>
      <c r="J383" s="354"/>
      <c r="K383" s="354"/>
    </row>
    <row r="384" spans="1:16" ht="13.5" customHeight="1">
      <c r="A384" s="354"/>
      <c r="B384" s="354"/>
      <c r="C384" s="354"/>
      <c r="D384" s="354"/>
      <c r="E384" s="354"/>
      <c r="F384" s="354"/>
      <c r="G384" s="354"/>
      <c r="H384" s="354"/>
      <c r="I384" s="354"/>
      <c r="J384" s="354"/>
      <c r="K384" s="354"/>
    </row>
    <row r="385" spans="1:12" ht="13.5" customHeight="1">
      <c r="A385" s="354"/>
      <c r="B385" s="354"/>
      <c r="C385" s="354"/>
      <c r="D385" s="354"/>
      <c r="E385" s="354"/>
      <c r="F385" s="354"/>
      <c r="G385" s="354"/>
      <c r="H385" s="354"/>
      <c r="I385" s="354"/>
      <c r="J385" s="354"/>
      <c r="K385" s="354"/>
    </row>
    <row r="386" spans="1:12" ht="13.5" customHeight="1">
      <c r="A386" s="354"/>
      <c r="B386" s="354"/>
      <c r="C386" s="354"/>
      <c r="D386" s="354"/>
      <c r="E386" s="354"/>
      <c r="F386" s="354"/>
      <c r="G386" s="354"/>
      <c r="H386" s="354"/>
      <c r="I386" s="354"/>
      <c r="J386" s="354"/>
      <c r="K386" s="354"/>
    </row>
    <row r="387" spans="1:12" ht="13.5" customHeight="1">
      <c r="A387" s="354"/>
      <c r="B387" s="354"/>
      <c r="C387" s="354"/>
      <c r="D387" s="354"/>
      <c r="E387" s="354"/>
      <c r="F387" s="354"/>
      <c r="G387" s="354"/>
      <c r="H387" s="354"/>
      <c r="I387" s="354"/>
      <c r="J387" s="354"/>
      <c r="K387" s="354"/>
    </row>
    <row r="388" spans="1:12" ht="13.5" customHeight="1">
      <c r="A388" s="354"/>
      <c r="B388" s="354"/>
      <c r="C388" s="354"/>
      <c r="D388" s="354"/>
      <c r="E388" s="354"/>
      <c r="F388" s="354"/>
      <c r="G388" s="354"/>
      <c r="H388" s="354"/>
      <c r="I388" s="354"/>
      <c r="J388" s="354"/>
      <c r="K388" s="354"/>
    </row>
    <row r="389" spans="1:12" ht="13.5" customHeight="1">
      <c r="A389" s="354"/>
      <c r="B389" s="354"/>
      <c r="C389" s="354"/>
      <c r="D389" s="354"/>
      <c r="E389" s="354"/>
      <c r="F389" s="354"/>
      <c r="G389" s="354"/>
      <c r="H389" s="354"/>
      <c r="I389" s="354"/>
      <c r="J389" s="354"/>
      <c r="K389" s="354"/>
    </row>
    <row r="390" spans="1:12" ht="30.75" customHeight="1">
      <c r="A390" s="641" t="str">
        <f>"- At July 2015, in " &amp; $C$5 &amp; ", rates of children looked after aged 0-17 in residential placements per 1,000 population were as follows:"</f>
        <v>- At July 2015, in Aberdeen City, rates of children looked after aged 0-17 in residential placements per 1,000 population were as follows:</v>
      </c>
      <c r="B390" s="641"/>
      <c r="C390" s="641"/>
      <c r="D390" s="641"/>
      <c r="E390" s="641"/>
      <c r="F390" s="641"/>
      <c r="G390" s="641"/>
      <c r="H390" s="641"/>
      <c r="I390" s="641"/>
      <c r="J390" s="463"/>
      <c r="K390" s="583"/>
    </row>
    <row r="391" spans="1:12" ht="13.5" customHeight="1">
      <c r="A391" s="641" t="str">
        <f>"      - "&amp;TEXT('Statistics - Children'!S268,"0%")&amp;" (" &amp; TEXT('Statistics - Children'!$S$266,"0.00") &amp; " per 1,000) in residential schools.  Scotland's rate was "&amp;TEXT('Statistics - Children'!S269,"0%")&amp;" (" &amp; TEXT('Statistics - Children'!$S$267,"0.00") &amp;" per 1,000)"</f>
        <v xml:space="preserve">      - 10% (0.16 per 1,000) in residential schools.  Scotland's rate was 9% (0.12 per 1,000)</v>
      </c>
      <c r="B391" s="641"/>
      <c r="C391" s="641"/>
      <c r="D391" s="641"/>
      <c r="E391" s="641"/>
      <c r="F391" s="641"/>
      <c r="G391" s="641"/>
      <c r="H391" s="641"/>
      <c r="I391" s="641"/>
      <c r="J391" s="463"/>
      <c r="K391" s="583"/>
    </row>
    <row r="392" spans="1:12" ht="13.5" customHeight="1">
      <c r="A392" s="641" t="str">
        <f>"      - "&amp;TEXT('Statistics - Children'!T268,"0%")&amp;" (" &amp; TEXT('Statistics - Children'!$T$266,"0.00") &amp; " per 1,000) in secure accommodation.  Scotland's rate was "&amp;TEXT('Statistics - Children'!T269,"0%")&amp;" (" &amp; TEXT('Statistics - Children'!$T$267,"0.00") &amp;" per 1,000)"</f>
        <v xml:space="preserve">      - 7% (0.11 per 1,000) in secure accommodation.  Scotland's rate was 5% (0.08 per 1,000)</v>
      </c>
      <c r="B392" s="641"/>
      <c r="C392" s="641"/>
      <c r="D392" s="641"/>
      <c r="E392" s="641"/>
      <c r="F392" s="641"/>
      <c r="G392" s="641"/>
      <c r="H392" s="641"/>
      <c r="I392" s="641"/>
      <c r="J392" s="463"/>
      <c r="K392" s="583"/>
    </row>
    <row r="393" spans="1:12" ht="13.5" customHeight="1">
      <c r="A393" s="641" t="str">
        <f>"      - "&amp;TEXT('Statistics - Children'!U268,"0%")&amp;" (" &amp; TEXT('Statistics - Children'!$U$266,"0.00") &amp; " per 1,000) in local authority homes.  Scotland's rate was "&amp;TEXT('Statistics - Children'!U269,"0%")&amp;" (" &amp; TEXT('Statistics - Children'!$U$267,"0.00") &amp;" per 1,000)"</f>
        <v xml:space="preserve">      - 25% (0.40 per 1,000) in local authority homes.  Scotland's rate was 37% (0.52 per 1,000)</v>
      </c>
      <c r="B393" s="641"/>
      <c r="C393" s="641"/>
      <c r="D393" s="641"/>
      <c r="E393" s="641"/>
      <c r="F393" s="641"/>
      <c r="G393" s="641"/>
      <c r="H393" s="641"/>
      <c r="I393" s="641"/>
      <c r="J393" s="463"/>
      <c r="K393" s="583"/>
    </row>
    <row r="394" spans="1:12" ht="13.5" customHeight="1">
      <c r="A394" s="641" t="str">
        <f>"      - "&amp;TEXT('Statistics - Children'!V268,"0%")&amp;" (" &amp; TEXT('Statistics - Children'!$V$266,"0.00") &amp; " per 1,000) in voluntary homes.  Scotland's rate was "&amp;TEXT('Statistics - Children'!V269,"0%")&amp;" (" &amp; TEXT('Statistics - Children'!$V$267,"0.00") &amp;" per 1,000)"</f>
        <v xml:space="preserve">      - 23% (0.37 per 1,000) in voluntary homes.  Scotland's rate was 27% (0.38 per 1,000)</v>
      </c>
      <c r="B394" s="641"/>
      <c r="C394" s="641"/>
      <c r="D394" s="641"/>
      <c r="E394" s="641"/>
      <c r="F394" s="641"/>
      <c r="G394" s="641"/>
      <c r="H394" s="641"/>
      <c r="I394" s="641"/>
      <c r="J394" s="463"/>
      <c r="K394" s="583"/>
    </row>
    <row r="395" spans="1:12" ht="13.5" customHeight="1">
      <c r="A395" s="641" t="str">
        <f>"      - "&amp;TEXT('Statistics - Children'!W268,"0%")&amp;" (" &amp; TEXT('Statistics - Children'!$W$266,"0.00") &amp; " per 1,000) in crisis care.  Scotland's rate was "&amp;TEXT('Statistics - Children'!W269,"0%")&amp;" (" &amp; TEXT('Statistics - Children'!$W$267,"0.00") &amp; " per 1,000 )"</f>
        <v xml:space="preserve">      - 0% (0.00 per 1,000) in crisis care.  Scotland's rate was 1% (0.02 per 1,000 )</v>
      </c>
      <c r="B395" s="641"/>
      <c r="C395" s="641"/>
      <c r="D395" s="641"/>
      <c r="E395" s="641"/>
      <c r="F395" s="641"/>
      <c r="G395" s="641"/>
      <c r="H395" s="641"/>
      <c r="I395" s="641"/>
      <c r="J395" s="463"/>
      <c r="K395" s="583"/>
    </row>
    <row r="396" spans="1:12" ht="15" customHeight="1">
      <c r="A396" s="641" t="str">
        <f>"      - "&amp;TEXT('Statistics - Children'!X268,"0%")&amp;" (" &amp; TEXT('Statistics - Children'!$X$266,"0.00") &amp; " per 1,000) in another residential placement.  Scotland's rate was "&amp;TEXT('Statistics - Children'!X269,"0%")&amp;" (" &amp; TEXT('Statistics - Children'!$X$267,"0.00") &amp; " per 1,000 )"</f>
        <v xml:space="preserve">      - 35% (0.56 per 1,000) in another residential placement.  Scotland's rate was 21% (0.29 per 1,000 )</v>
      </c>
      <c r="B396" s="641"/>
      <c r="C396" s="641"/>
      <c r="D396" s="641"/>
      <c r="E396" s="641"/>
      <c r="F396" s="641"/>
      <c r="G396" s="641"/>
      <c r="H396" s="641"/>
      <c r="I396" s="641"/>
      <c r="J396" s="463"/>
      <c r="K396" s="583"/>
    </row>
    <row r="397" spans="1:12" ht="42.75" customHeight="1">
      <c r="A397" s="624" t="s">
        <v>188</v>
      </c>
      <c r="B397" s="624"/>
      <c r="C397" s="624"/>
      <c r="D397" s="624"/>
      <c r="E397" s="624"/>
      <c r="F397" s="624"/>
      <c r="G397" s="624"/>
      <c r="H397" s="624"/>
      <c r="I397" s="624"/>
      <c r="J397" s="466"/>
      <c r="K397" s="586"/>
    </row>
    <row r="398" spans="1:12" ht="18.75">
      <c r="A398" s="625" t="s">
        <v>85</v>
      </c>
      <c r="B398" s="625"/>
      <c r="C398" s="625"/>
      <c r="D398" s="625"/>
      <c r="E398" s="625"/>
      <c r="F398" s="625"/>
      <c r="G398" s="625"/>
      <c r="H398" s="625"/>
      <c r="I398" s="349"/>
      <c r="J398" s="449"/>
      <c r="K398" s="572"/>
    </row>
    <row r="399" spans="1:12" ht="18.75">
      <c r="A399" s="349"/>
      <c r="B399" s="349"/>
      <c r="C399" s="349"/>
      <c r="D399" s="349"/>
      <c r="E399" s="349"/>
      <c r="F399" s="349"/>
      <c r="G399" s="349"/>
      <c r="H399" s="349"/>
      <c r="I399" s="349"/>
      <c r="J399" s="449"/>
      <c r="K399" s="572"/>
    </row>
    <row r="400" spans="1:12" ht="16.5" customHeight="1">
      <c r="A400" s="621" t="str">
        <f>"Figure " &amp; $L$400 &amp; " - Older people population data - % change 2012-2017 &amp; Projections 2017-2027"</f>
        <v>Figure 17 - Older people population data - % change 2012-2017 &amp; Projections 2017-2027</v>
      </c>
      <c r="B400" s="628"/>
      <c r="C400" s="628"/>
      <c r="D400" s="628"/>
      <c r="E400" s="628"/>
      <c r="F400" s="628"/>
      <c r="G400" s="628"/>
      <c r="H400" s="628"/>
      <c r="I400" s="353"/>
      <c r="J400" s="461"/>
      <c r="K400" s="581"/>
      <c r="L400" s="320">
        <f>$L$364+1</f>
        <v>17</v>
      </c>
    </row>
    <row r="401" spans="1:11" ht="16.5" customHeight="1" thickBot="1">
      <c r="A401" s="193"/>
      <c r="B401" s="355"/>
      <c r="C401" s="355"/>
      <c r="D401" s="355"/>
      <c r="E401" s="355"/>
      <c r="F401" s="355"/>
      <c r="G401" s="355"/>
      <c r="H401" s="355"/>
      <c r="I401" s="291"/>
      <c r="J401" s="458"/>
      <c r="K401" s="578"/>
    </row>
    <row r="402" spans="1:11" ht="39" thickBot="1">
      <c r="A402" s="654" t="s">
        <v>209</v>
      </c>
      <c r="B402" s="655"/>
      <c r="C402" s="356" t="s">
        <v>345</v>
      </c>
      <c r="D402" s="357" t="s">
        <v>346</v>
      </c>
      <c r="E402" s="358" t="s">
        <v>347</v>
      </c>
      <c r="F402" s="359" t="s">
        <v>360</v>
      </c>
      <c r="G402" s="357" t="s">
        <v>361</v>
      </c>
      <c r="H402" s="360" t="s">
        <v>362</v>
      </c>
      <c r="I402" s="361"/>
      <c r="J402" s="361"/>
      <c r="K402" s="361"/>
    </row>
    <row r="403" spans="1:11" ht="15" customHeight="1">
      <c r="A403" s="622" t="s">
        <v>31</v>
      </c>
      <c r="B403" s="623"/>
      <c r="C403" s="362">
        <v>0.14004197761194029</v>
      </c>
      <c r="D403" s="363">
        <v>-1.1612021857923498E-2</v>
      </c>
      <c r="E403" s="364">
        <v>0.18247326824732682</v>
      </c>
      <c r="F403" s="365">
        <v>0.17218983328219289</v>
      </c>
      <c r="G403" s="363">
        <v>0.27600207325501036</v>
      </c>
      <c r="H403" s="366">
        <v>0.26695498329074113</v>
      </c>
      <c r="I403" s="367"/>
      <c r="J403" s="367"/>
      <c r="K403" s="367"/>
    </row>
    <row r="404" spans="1:11" ht="15" customHeight="1">
      <c r="A404" s="622" t="s">
        <v>32</v>
      </c>
      <c r="B404" s="623"/>
      <c r="C404" s="362">
        <v>0.16537372244797438</v>
      </c>
      <c r="D404" s="363">
        <v>0.12885568459205562</v>
      </c>
      <c r="E404" s="364">
        <v>0.16762547113667922</v>
      </c>
      <c r="F404" s="365">
        <v>0.10520569174415328</v>
      </c>
      <c r="G404" s="363">
        <v>0.45462289496101171</v>
      </c>
      <c r="H404" s="366">
        <v>0.51681957186544347</v>
      </c>
      <c r="I404" s="367"/>
      <c r="J404" s="367"/>
      <c r="K404" s="367"/>
    </row>
    <row r="405" spans="1:11" ht="15" customHeight="1">
      <c r="A405" s="622" t="s">
        <v>33</v>
      </c>
      <c r="B405" s="623"/>
      <c r="C405" s="362">
        <v>0.13247603104550296</v>
      </c>
      <c r="D405" s="363">
        <v>8.2723552027781228E-2</v>
      </c>
      <c r="E405" s="364">
        <v>0.20204688015846814</v>
      </c>
      <c r="F405" s="365">
        <v>3.8970637640260701E-2</v>
      </c>
      <c r="G405" s="363">
        <v>0.37491408934707904</v>
      </c>
      <c r="H405" s="366">
        <v>0.44191156275748422</v>
      </c>
      <c r="I405" s="367"/>
      <c r="J405" s="367"/>
      <c r="K405" s="367"/>
    </row>
    <row r="406" spans="1:11" ht="15" customHeight="1">
      <c r="A406" s="622" t="s">
        <v>34</v>
      </c>
      <c r="B406" s="623"/>
      <c r="C406" s="362">
        <v>8.1391242937853103E-2</v>
      </c>
      <c r="D406" s="363">
        <v>0.10802039870190079</v>
      </c>
      <c r="E406" s="364">
        <v>0.15449915110356535</v>
      </c>
      <c r="F406" s="365">
        <v>-3.7714285714285714E-2</v>
      </c>
      <c r="G406" s="363">
        <v>0.30892608089260809</v>
      </c>
      <c r="H406" s="366">
        <v>0.4661764705882353</v>
      </c>
      <c r="I406" s="367"/>
      <c r="J406" s="367"/>
      <c r="K406" s="367"/>
    </row>
    <row r="407" spans="1:11" ht="15" customHeight="1">
      <c r="A407" s="622" t="s">
        <v>35</v>
      </c>
      <c r="B407" s="623"/>
      <c r="C407" s="362">
        <v>0.16753825295370908</v>
      </c>
      <c r="D407" s="363">
        <v>0.14049282824567855</v>
      </c>
      <c r="E407" s="364">
        <v>0.23674911660777384</v>
      </c>
      <c r="F407" s="365">
        <v>7.3158593231585939E-2</v>
      </c>
      <c r="G407" s="363">
        <v>0.5046759109964527</v>
      </c>
      <c r="H407" s="366">
        <v>0.62380952380952381</v>
      </c>
      <c r="I407" s="367"/>
      <c r="J407" s="367"/>
      <c r="K407" s="367"/>
    </row>
    <row r="408" spans="1:11" ht="15" customHeight="1">
      <c r="A408" s="622" t="s">
        <v>36</v>
      </c>
      <c r="B408" s="623"/>
      <c r="C408" s="362">
        <v>8.5949098621421E-2</v>
      </c>
      <c r="D408" s="363">
        <v>8.8648180242634309E-2</v>
      </c>
      <c r="E408" s="364">
        <v>0.21457592686642965</v>
      </c>
      <c r="F408" s="365">
        <v>1.6258971729896002E-2</v>
      </c>
      <c r="G408" s="363">
        <v>0.27103398869696727</v>
      </c>
      <c r="H408" s="366">
        <v>0.48379678026343298</v>
      </c>
      <c r="I408" s="367"/>
      <c r="J408" s="367"/>
      <c r="K408" s="367"/>
    </row>
    <row r="409" spans="1:11" ht="15" customHeight="1">
      <c r="A409" s="622" t="s">
        <v>37</v>
      </c>
      <c r="B409" s="623"/>
      <c r="C409" s="362">
        <v>6.2203561153876062E-2</v>
      </c>
      <c r="D409" s="363">
        <v>-2.8476084538375974E-2</v>
      </c>
      <c r="E409" s="364">
        <v>0.13487241798298907</v>
      </c>
      <c r="F409" s="365">
        <v>0.11660932581802211</v>
      </c>
      <c r="G409" s="363">
        <v>0.14827112434165332</v>
      </c>
      <c r="H409" s="366">
        <v>0.22644539614561027</v>
      </c>
      <c r="I409" s="367"/>
      <c r="J409" s="367"/>
      <c r="K409" s="367"/>
    </row>
    <row r="410" spans="1:11" ht="15" customHeight="1">
      <c r="A410" s="622" t="s">
        <v>38</v>
      </c>
      <c r="B410" s="623"/>
      <c r="C410" s="362">
        <v>0.10943095901313171</v>
      </c>
      <c r="D410" s="363">
        <v>7.6849446191713383E-2</v>
      </c>
      <c r="E410" s="364">
        <v>0.21912013536379019</v>
      </c>
      <c r="F410" s="365">
        <v>8.715925394548063E-2</v>
      </c>
      <c r="G410" s="363">
        <v>0.31860317460317461</v>
      </c>
      <c r="H410" s="366">
        <v>0.48473282442748089</v>
      </c>
      <c r="I410" s="367"/>
      <c r="J410" s="367"/>
      <c r="K410" s="367"/>
    </row>
    <row r="411" spans="1:11" ht="15" customHeight="1">
      <c r="A411" s="622" t="s">
        <v>39</v>
      </c>
      <c r="B411" s="623"/>
      <c r="C411" s="362">
        <v>8.1422718158835325E-2</v>
      </c>
      <c r="D411" s="363">
        <v>9.3900481540930975E-2</v>
      </c>
      <c r="E411" s="364">
        <v>0.33306804615996816</v>
      </c>
      <c r="F411" s="365">
        <v>0.12760983474405482</v>
      </c>
      <c r="G411" s="363">
        <v>0.22792858889704085</v>
      </c>
      <c r="H411" s="366">
        <v>0.58477611940298513</v>
      </c>
      <c r="I411" s="367"/>
      <c r="J411" s="367"/>
      <c r="K411" s="367"/>
    </row>
    <row r="412" spans="1:11" ht="15" customHeight="1">
      <c r="A412" s="622" t="s">
        <v>40</v>
      </c>
      <c r="B412" s="623"/>
      <c r="C412" s="362">
        <v>0.11145356929807118</v>
      </c>
      <c r="D412" s="363">
        <v>9.5291841341502745E-2</v>
      </c>
      <c r="E412" s="364">
        <v>0.19913232104121475</v>
      </c>
      <c r="F412" s="365">
        <v>0.17702835674031667</v>
      </c>
      <c r="G412" s="363">
        <v>0.32813190048579421</v>
      </c>
      <c r="H412" s="366">
        <v>0.4634587554269175</v>
      </c>
      <c r="I412" s="367"/>
      <c r="J412" s="367"/>
      <c r="K412" s="367"/>
    </row>
    <row r="413" spans="1:11" ht="15" customHeight="1">
      <c r="A413" s="622" t="s">
        <v>41</v>
      </c>
      <c r="B413" s="623"/>
      <c r="C413" s="362">
        <v>0.10806801323747575</v>
      </c>
      <c r="D413" s="363">
        <v>4.7115056333219531E-2</v>
      </c>
      <c r="E413" s="364">
        <v>0.19037199124726478</v>
      </c>
      <c r="F413" s="365">
        <v>0.19505664263645725</v>
      </c>
      <c r="G413" s="363">
        <v>0.26817737202477993</v>
      </c>
      <c r="H413" s="366">
        <v>0.36323529411764705</v>
      </c>
      <c r="I413" s="367"/>
      <c r="J413" s="367"/>
      <c r="K413" s="367"/>
    </row>
    <row r="414" spans="1:11" ht="15" customHeight="1">
      <c r="A414" s="622" t="s">
        <v>140</v>
      </c>
      <c r="B414" s="623"/>
      <c r="C414" s="362">
        <v>0.14599794837672239</v>
      </c>
      <c r="D414" s="363">
        <v>-3.3207791681853158E-3</v>
      </c>
      <c r="E414" s="364">
        <v>0.13934426229508196</v>
      </c>
      <c r="F414" s="365">
        <v>0.19199225837667835</v>
      </c>
      <c r="G414" s="363">
        <v>0.31148673357441792</v>
      </c>
      <c r="H414" s="366">
        <v>0.25136517292190347</v>
      </c>
      <c r="I414" s="367"/>
      <c r="J414" s="367"/>
      <c r="K414" s="367"/>
    </row>
    <row r="415" spans="1:11" ht="15" customHeight="1">
      <c r="A415" s="622" t="s">
        <v>42</v>
      </c>
      <c r="B415" s="623"/>
      <c r="C415" s="362">
        <v>0.10287081339712918</v>
      </c>
      <c r="D415" s="363">
        <v>8.640157093765341E-2</v>
      </c>
      <c r="E415" s="364">
        <v>0.1710691823899371</v>
      </c>
      <c r="F415" s="365">
        <v>5.3145336225596529E-2</v>
      </c>
      <c r="G415" s="363">
        <v>0.28603705377315863</v>
      </c>
      <c r="H415" s="366">
        <v>0.4146079484425349</v>
      </c>
      <c r="I415" s="367"/>
      <c r="J415" s="367"/>
      <c r="K415" s="367"/>
    </row>
    <row r="416" spans="1:11" ht="15" customHeight="1">
      <c r="A416" s="622" t="s">
        <v>43</v>
      </c>
      <c r="B416" s="623"/>
      <c r="C416" s="362">
        <v>0.13267433259363862</v>
      </c>
      <c r="D416" s="363">
        <v>0.1093660437922733</v>
      </c>
      <c r="E416" s="364">
        <v>0.17445917655268667</v>
      </c>
      <c r="F416" s="365">
        <v>0.11677748753265257</v>
      </c>
      <c r="G416" s="363">
        <v>0.339258034514829</v>
      </c>
      <c r="H416" s="366">
        <v>0.53357100415923941</v>
      </c>
      <c r="I416" s="367"/>
      <c r="J416" s="367"/>
      <c r="K416" s="367"/>
    </row>
    <row r="417" spans="1:11" ht="15" customHeight="1">
      <c r="A417" s="622" t="s">
        <v>44</v>
      </c>
      <c r="B417" s="623"/>
      <c r="C417" s="362">
        <v>0.13349857413181951</v>
      </c>
      <c r="D417" s="363">
        <v>9.4160919540229884E-2</v>
      </c>
      <c r="E417" s="364">
        <v>0.14070032986551637</v>
      </c>
      <c r="F417" s="365">
        <v>7.3430519633200089E-2</v>
      </c>
      <c r="G417" s="363">
        <v>0.3893604504580217</v>
      </c>
      <c r="H417" s="366">
        <v>0.46046046046046046</v>
      </c>
      <c r="I417" s="367"/>
      <c r="J417" s="367"/>
      <c r="K417" s="367"/>
    </row>
    <row r="418" spans="1:11" ht="15" customHeight="1">
      <c r="A418" s="622" t="s">
        <v>45</v>
      </c>
      <c r="B418" s="623"/>
      <c r="C418" s="362">
        <v>4.7598060819744381E-2</v>
      </c>
      <c r="D418" s="363">
        <v>-5.160172571933281E-2</v>
      </c>
      <c r="E418" s="364">
        <v>9.5773294908741591E-2</v>
      </c>
      <c r="F418" s="365">
        <v>0.27562385138276907</v>
      </c>
      <c r="G418" s="363">
        <v>9.6317787807149516E-2</v>
      </c>
      <c r="H418" s="366">
        <v>0.18497413868677129</v>
      </c>
      <c r="I418" s="367"/>
      <c r="J418" s="367"/>
      <c r="K418" s="367"/>
    </row>
    <row r="419" spans="1:11" ht="15" customHeight="1">
      <c r="A419" s="622" t="s">
        <v>46</v>
      </c>
      <c r="B419" s="623"/>
      <c r="C419" s="362">
        <v>0.15395859671302148</v>
      </c>
      <c r="D419" s="363">
        <v>0.11254460609387867</v>
      </c>
      <c r="E419" s="364">
        <v>0.24147947327652983</v>
      </c>
      <c r="F419" s="365">
        <v>8.7815399363209964E-2</v>
      </c>
      <c r="G419" s="363">
        <v>0.42092277325437949</v>
      </c>
      <c r="H419" s="366">
        <v>0.51614412728123538</v>
      </c>
      <c r="I419" s="367"/>
      <c r="J419" s="367"/>
      <c r="K419" s="367"/>
    </row>
    <row r="420" spans="1:11" ht="15" customHeight="1">
      <c r="A420" s="622" t="s">
        <v>47</v>
      </c>
      <c r="B420" s="623"/>
      <c r="C420" s="362">
        <v>9.5511100268358143E-2</v>
      </c>
      <c r="D420" s="363">
        <v>2.2088742491765161E-2</v>
      </c>
      <c r="E420" s="364">
        <v>0.16720955483170466</v>
      </c>
      <c r="F420" s="365">
        <v>0.1221467542589912</v>
      </c>
      <c r="G420" s="363">
        <v>0.25990521327014215</v>
      </c>
      <c r="H420" s="366">
        <v>0.32790697674418606</v>
      </c>
      <c r="I420" s="367"/>
      <c r="J420" s="367"/>
      <c r="K420" s="367"/>
    </row>
    <row r="421" spans="1:11" ht="15" customHeight="1">
      <c r="A421" s="622" t="s">
        <v>48</v>
      </c>
      <c r="B421" s="623"/>
      <c r="C421" s="362">
        <v>0.15306970668566677</v>
      </c>
      <c r="D421" s="363">
        <v>0.1239424703891709</v>
      </c>
      <c r="E421" s="364">
        <v>0.2268637532133676</v>
      </c>
      <c r="F421" s="365">
        <v>7.1060762100926878E-2</v>
      </c>
      <c r="G421" s="363">
        <v>0.43789988709070382</v>
      </c>
      <c r="H421" s="366">
        <v>0.57517024620220014</v>
      </c>
      <c r="I421" s="367"/>
      <c r="J421" s="367"/>
      <c r="K421" s="367"/>
    </row>
    <row r="422" spans="1:11" ht="15" customHeight="1">
      <c r="A422" s="622" t="s">
        <v>49</v>
      </c>
      <c r="B422" s="623"/>
      <c r="C422" s="362">
        <v>9.5257234726688109E-2</v>
      </c>
      <c r="D422" s="363">
        <v>0.10644351464435146</v>
      </c>
      <c r="E422" s="364">
        <v>0.23061728395061729</v>
      </c>
      <c r="F422" s="365">
        <v>4.8715596330275231E-2</v>
      </c>
      <c r="G422" s="363">
        <v>0.28815610346392379</v>
      </c>
      <c r="H422" s="366">
        <v>0.5232744783306581</v>
      </c>
      <c r="I422" s="367"/>
      <c r="J422" s="367"/>
      <c r="K422" s="367"/>
    </row>
    <row r="423" spans="1:11" ht="15" customHeight="1">
      <c r="A423" s="622" t="s">
        <v>50</v>
      </c>
      <c r="B423" s="623"/>
      <c r="C423" s="362">
        <v>9.8821396192203079E-2</v>
      </c>
      <c r="D423" s="363">
        <v>0.12347945834289649</v>
      </c>
      <c r="E423" s="364">
        <v>0.21052631578947367</v>
      </c>
      <c r="F423" s="365">
        <v>5.5693069306930694E-2</v>
      </c>
      <c r="G423" s="363">
        <v>0.32359550561797751</v>
      </c>
      <c r="H423" s="366">
        <v>0.52597402597402598</v>
      </c>
      <c r="I423" s="367"/>
      <c r="J423" s="367"/>
      <c r="K423" s="367"/>
    </row>
    <row r="424" spans="1:11" ht="15" customHeight="1">
      <c r="A424" s="622" t="s">
        <v>51</v>
      </c>
      <c r="B424" s="623"/>
      <c r="C424" s="362">
        <v>9.507123731446894E-2</v>
      </c>
      <c r="D424" s="363">
        <v>0.10637426900584795</v>
      </c>
      <c r="E424" s="364">
        <v>0.20832495475568066</v>
      </c>
      <c r="F424" s="365">
        <v>0.16451836870226702</v>
      </c>
      <c r="G424" s="363">
        <v>0.28474020825625035</v>
      </c>
      <c r="H424" s="366">
        <v>0.55699783657846569</v>
      </c>
      <c r="I424" s="367"/>
      <c r="J424" s="367"/>
      <c r="K424" s="367"/>
    </row>
    <row r="425" spans="1:11" ht="15" customHeight="1">
      <c r="A425" s="622" t="s">
        <v>52</v>
      </c>
      <c r="B425" s="623"/>
      <c r="C425" s="362">
        <v>6.4590542099192613E-2</v>
      </c>
      <c r="D425" s="363">
        <v>0.24086502609992544</v>
      </c>
      <c r="E425" s="364">
        <v>0.24015748031496062</v>
      </c>
      <c r="F425" s="365">
        <v>4.8392921632358255E-2</v>
      </c>
      <c r="G425" s="363">
        <v>0.31610576923076922</v>
      </c>
      <c r="H425" s="366">
        <v>0.72857142857142854</v>
      </c>
      <c r="I425" s="367"/>
      <c r="J425" s="367"/>
      <c r="K425" s="367"/>
    </row>
    <row r="426" spans="1:11" ht="15" customHeight="1">
      <c r="A426" s="622" t="s">
        <v>53</v>
      </c>
      <c r="B426" s="623"/>
      <c r="C426" s="362">
        <v>0.11444437737671274</v>
      </c>
      <c r="D426" s="363">
        <v>8.6135465844493692E-2</v>
      </c>
      <c r="E426" s="364">
        <v>0.22920288055624535</v>
      </c>
      <c r="F426" s="365">
        <v>7.3931647077939658E-2</v>
      </c>
      <c r="G426" s="363">
        <v>0.33203228954138209</v>
      </c>
      <c r="H426" s="366">
        <v>0.44646464646464645</v>
      </c>
      <c r="I426" s="367"/>
      <c r="J426" s="367"/>
      <c r="K426" s="367"/>
    </row>
    <row r="427" spans="1:11" ht="15" customHeight="1">
      <c r="A427" s="622" t="s">
        <v>54</v>
      </c>
      <c r="B427" s="623"/>
      <c r="C427" s="362">
        <v>8.5194620534391849E-2</v>
      </c>
      <c r="D427" s="363">
        <v>6.6737492756422642E-2</v>
      </c>
      <c r="E427" s="364">
        <v>0.20065986802639471</v>
      </c>
      <c r="F427" s="365">
        <v>0.16410984331495332</v>
      </c>
      <c r="G427" s="363">
        <v>0.24798551380715256</v>
      </c>
      <c r="H427" s="366">
        <v>0.46115413439920061</v>
      </c>
      <c r="I427" s="367"/>
      <c r="J427" s="367"/>
      <c r="K427" s="367"/>
    </row>
    <row r="428" spans="1:11" ht="15" customHeight="1">
      <c r="A428" s="622" t="s">
        <v>55</v>
      </c>
      <c r="B428" s="623"/>
      <c r="C428" s="362">
        <v>0.12709174841315637</v>
      </c>
      <c r="D428" s="363">
        <v>0.10282332634693626</v>
      </c>
      <c r="E428" s="364">
        <v>0.14893617021276595</v>
      </c>
      <c r="F428" s="365">
        <v>7.5131191603737366E-2</v>
      </c>
      <c r="G428" s="363">
        <v>0.38893236444941309</v>
      </c>
      <c r="H428" s="366">
        <v>0.46825396825396826</v>
      </c>
      <c r="I428" s="367"/>
      <c r="J428" s="367"/>
      <c r="K428" s="367"/>
    </row>
    <row r="429" spans="1:11" ht="15" customHeight="1">
      <c r="A429" s="622" t="s">
        <v>56</v>
      </c>
      <c r="B429" s="623"/>
      <c r="C429" s="362">
        <v>0.16029539530842746</v>
      </c>
      <c r="D429" s="363">
        <v>0.18255908720456399</v>
      </c>
      <c r="E429" s="364">
        <v>0.20529801324503311</v>
      </c>
      <c r="F429" s="365">
        <v>0.12280044926993636</v>
      </c>
      <c r="G429" s="363">
        <v>0.44245348035837356</v>
      </c>
      <c r="H429" s="366">
        <v>0.62820512820512819</v>
      </c>
      <c r="I429" s="367"/>
      <c r="J429" s="367"/>
      <c r="K429" s="367"/>
    </row>
    <row r="430" spans="1:11" ht="15" customHeight="1">
      <c r="A430" s="622" t="s">
        <v>57</v>
      </c>
      <c r="B430" s="623"/>
      <c r="C430" s="362">
        <v>0.10052447552447552</v>
      </c>
      <c r="D430" s="363">
        <v>8.4309973690504664E-2</v>
      </c>
      <c r="E430" s="364">
        <v>0.13568949195329758</v>
      </c>
      <c r="F430" s="365">
        <v>4.8120201217897805E-2</v>
      </c>
      <c r="G430" s="363">
        <v>0.3126723282232271</v>
      </c>
      <c r="H430" s="366">
        <v>0.44040011114198391</v>
      </c>
      <c r="I430" s="367"/>
      <c r="J430" s="367"/>
      <c r="K430" s="367"/>
    </row>
    <row r="431" spans="1:11" ht="15" customHeight="1">
      <c r="A431" s="622" t="s">
        <v>58</v>
      </c>
      <c r="B431" s="623"/>
      <c r="C431" s="362">
        <v>0.10555354855660284</v>
      </c>
      <c r="D431" s="363">
        <v>7.6931388438681789E-2</v>
      </c>
      <c r="E431" s="364">
        <v>0.25396039603960396</v>
      </c>
      <c r="F431" s="365">
        <v>0.18290110804146986</v>
      </c>
      <c r="G431" s="363">
        <v>0.28840172569479283</v>
      </c>
      <c r="H431" s="366">
        <v>0.48203711014607187</v>
      </c>
      <c r="I431" s="367"/>
      <c r="J431" s="367"/>
      <c r="K431" s="367"/>
    </row>
    <row r="432" spans="1:11" ht="15" customHeight="1">
      <c r="A432" s="622" t="s">
        <v>59</v>
      </c>
      <c r="B432" s="623"/>
      <c r="C432" s="362">
        <v>9.1553979162048327E-2</v>
      </c>
      <c r="D432" s="363">
        <v>0.12288529466443576</v>
      </c>
      <c r="E432" s="364">
        <v>0.20267379679144384</v>
      </c>
      <c r="F432" s="365">
        <v>0.10550365556458165</v>
      </c>
      <c r="G432" s="363">
        <v>0.30165562913907285</v>
      </c>
      <c r="H432" s="366">
        <v>0.54735437972432188</v>
      </c>
      <c r="I432" s="367"/>
      <c r="J432" s="367"/>
      <c r="K432" s="367"/>
    </row>
    <row r="433" spans="1:20" ht="15" customHeight="1">
      <c r="A433" s="622" t="s">
        <v>60</v>
      </c>
      <c r="B433" s="623"/>
      <c r="C433" s="362">
        <v>0.10586552217453506</v>
      </c>
      <c r="D433" s="363">
        <v>1.7060876308646764E-2</v>
      </c>
      <c r="E433" s="364">
        <v>0.10956521739130434</v>
      </c>
      <c r="F433" s="365">
        <v>0.19383354894351013</v>
      </c>
      <c r="G433" s="363">
        <v>0.27030118185284024</v>
      </c>
      <c r="H433" s="366">
        <v>0.31818181818181818</v>
      </c>
      <c r="I433" s="367"/>
      <c r="J433" s="367"/>
      <c r="K433" s="367"/>
    </row>
    <row r="434" spans="1:20" ht="15" customHeight="1" thickBot="1">
      <c r="A434" s="643" t="s">
        <v>61</v>
      </c>
      <c r="B434" s="644"/>
      <c r="C434" s="368">
        <v>0.12809077195513871</v>
      </c>
      <c r="D434" s="369">
        <v>0.20273794002607562</v>
      </c>
      <c r="E434" s="370">
        <v>0.29529616724738678</v>
      </c>
      <c r="F434" s="371">
        <v>0.15563953488372093</v>
      </c>
      <c r="G434" s="369">
        <v>0.41691056910569108</v>
      </c>
      <c r="H434" s="372">
        <v>0.73570948217888366</v>
      </c>
      <c r="I434" s="367"/>
      <c r="J434" s="367"/>
      <c r="K434" s="367"/>
    </row>
    <row r="435" spans="1:20" ht="15" customHeight="1" thickBot="1">
      <c r="A435" s="664" t="s">
        <v>5</v>
      </c>
      <c r="B435" s="665"/>
      <c r="C435" s="373">
        <v>0.11160635959508344</v>
      </c>
      <c r="D435" s="374">
        <v>6.8227677820749955E-2</v>
      </c>
      <c r="E435" s="375">
        <v>0.18296991999414144</v>
      </c>
      <c r="F435" s="376">
        <v>0.1256705782623577</v>
      </c>
      <c r="G435" s="374">
        <v>0.30710806646425082</v>
      </c>
      <c r="H435" s="377">
        <v>0.42870850421728701</v>
      </c>
      <c r="I435" s="378"/>
      <c r="J435" s="378"/>
      <c r="K435" s="378"/>
    </row>
    <row r="436" spans="1:20" ht="13.5" customHeight="1">
      <c r="A436" s="349"/>
      <c r="B436" s="349"/>
      <c r="C436" s="349"/>
      <c r="D436" s="349"/>
      <c r="E436" s="349"/>
      <c r="F436" s="349"/>
      <c r="G436" s="349"/>
      <c r="H436" s="349"/>
      <c r="I436" s="349"/>
      <c r="J436" s="449"/>
      <c r="K436" s="572"/>
    </row>
    <row r="437" spans="1:20" ht="13.5" customHeight="1">
      <c r="A437" s="626" t="s">
        <v>117</v>
      </c>
      <c r="B437" s="626"/>
      <c r="C437" s="626"/>
      <c r="D437" s="626"/>
      <c r="E437" s="626"/>
      <c r="F437" s="626"/>
      <c r="G437" s="626"/>
      <c r="H437" s="626"/>
      <c r="I437" s="379"/>
      <c r="J437" s="468"/>
      <c r="K437" s="587"/>
    </row>
    <row r="438" spans="1:20" ht="13.5" customHeight="1">
      <c r="A438" s="617" t="s">
        <v>348</v>
      </c>
      <c r="B438" s="617"/>
      <c r="C438" s="617"/>
      <c r="D438" s="617"/>
      <c r="E438" s="617"/>
      <c r="F438" s="617"/>
      <c r="G438" s="617"/>
      <c r="H438" s="617"/>
      <c r="I438" s="311"/>
      <c r="J438" s="459"/>
      <c r="K438" s="579"/>
    </row>
    <row r="439" spans="1:20" ht="13.5" customHeight="1">
      <c r="A439" s="617"/>
      <c r="B439" s="617"/>
      <c r="C439" s="617"/>
      <c r="D439" s="617"/>
      <c r="E439" s="617"/>
      <c r="F439" s="617"/>
      <c r="G439" s="617"/>
      <c r="H439" s="617"/>
      <c r="I439" s="311"/>
      <c r="J439" s="459"/>
      <c r="K439" s="579"/>
    </row>
    <row r="440" spans="1:20" ht="13.5" customHeight="1"/>
    <row r="441" spans="1:20" ht="39.75" customHeight="1">
      <c r="A441" s="621" t="str">
        <f>"Figure " &amp; $L$441 &amp;" - " &amp; $C$5 &amp; " and Scotland's ten year and twenty year projected percentage change of older people (aged 65-74, 75-84 and 85+) - 2012 based estimates"</f>
        <v>Figure 18 - Aberdeen City and Scotland's ten year and twenty year projected percentage change of older people (aged 65-74, 75-84 and 85+) - 2012 based estimates</v>
      </c>
      <c r="B441" s="620"/>
      <c r="C441" s="620"/>
      <c r="D441" s="620"/>
      <c r="E441" s="620"/>
      <c r="F441" s="620"/>
      <c r="G441" s="620"/>
      <c r="H441" s="620"/>
      <c r="I441" s="348"/>
      <c r="J441" s="454"/>
      <c r="K441" s="568"/>
      <c r="L441" s="320">
        <f>$L$400+1</f>
        <v>18</v>
      </c>
    </row>
    <row r="442" spans="1:20" ht="12.75" customHeight="1">
      <c r="A442" s="349"/>
      <c r="B442" s="349"/>
      <c r="C442" s="349"/>
      <c r="D442" s="349"/>
      <c r="E442" s="349"/>
      <c r="F442" s="349"/>
      <c r="G442" s="349"/>
      <c r="H442" s="349"/>
      <c r="I442" s="349"/>
      <c r="J442" s="449"/>
      <c r="K442" s="572"/>
    </row>
    <row r="443" spans="1:20" ht="12.75" customHeight="1">
      <c r="A443" s="349"/>
      <c r="B443" s="349"/>
      <c r="C443" s="349"/>
      <c r="D443" s="349"/>
      <c r="E443" s="349"/>
      <c r="F443" s="349"/>
      <c r="G443" s="349"/>
      <c r="H443" s="349"/>
      <c r="I443" s="349"/>
      <c r="J443" s="449"/>
      <c r="K443" s="572"/>
    </row>
    <row r="444" spans="1:20" ht="12.75" customHeight="1">
      <c r="A444" s="349"/>
      <c r="B444" s="349"/>
      <c r="C444" s="349"/>
      <c r="D444" s="349"/>
      <c r="E444" s="349"/>
      <c r="F444" s="349"/>
      <c r="G444" s="349"/>
      <c r="H444" s="349"/>
      <c r="I444" s="349"/>
      <c r="J444" s="449"/>
      <c r="K444" s="572"/>
    </row>
    <row r="445" spans="1:20" ht="12.75" customHeight="1">
      <c r="A445" s="349"/>
      <c r="B445" s="349"/>
      <c r="C445" s="349"/>
      <c r="D445" s="349"/>
      <c r="E445" s="349"/>
      <c r="F445" s="349"/>
      <c r="G445" s="349"/>
      <c r="H445" s="349"/>
      <c r="I445" s="349"/>
      <c r="J445" s="449"/>
      <c r="K445" s="572"/>
    </row>
    <row r="446" spans="1:20" ht="12.75" customHeight="1">
      <c r="A446" s="349"/>
      <c r="B446" s="349"/>
      <c r="C446" s="349"/>
      <c r="D446" s="349"/>
      <c r="E446" s="349"/>
      <c r="F446" s="349"/>
      <c r="G446" s="349"/>
      <c r="H446" s="349"/>
      <c r="I446" s="349"/>
      <c r="J446" s="449"/>
      <c r="K446" s="572"/>
    </row>
    <row r="447" spans="1:20" ht="12.75" customHeight="1">
      <c r="A447" s="349"/>
      <c r="B447" s="349"/>
      <c r="C447" s="349"/>
      <c r="D447" s="349"/>
      <c r="E447" s="349"/>
      <c r="F447" s="349"/>
      <c r="G447" s="349"/>
      <c r="H447" s="349"/>
      <c r="I447" s="349"/>
      <c r="J447" s="449"/>
      <c r="K447" s="572"/>
      <c r="N447" s="477" t="s">
        <v>334</v>
      </c>
      <c r="O447" s="477" t="s">
        <v>335</v>
      </c>
      <c r="P447" s="477" t="s">
        <v>341</v>
      </c>
      <c r="Q447" s="477" t="s">
        <v>342</v>
      </c>
      <c r="R447" s="477" t="s">
        <v>343</v>
      </c>
      <c r="S447" s="477" t="s">
        <v>344</v>
      </c>
      <c r="T447" s="447"/>
    </row>
    <row r="448" spans="1:20" ht="12.75" customHeight="1">
      <c r="A448" s="349"/>
      <c r="B448" s="349"/>
      <c r="C448" s="349"/>
      <c r="D448" s="349"/>
      <c r="E448" s="349"/>
      <c r="F448" s="349"/>
      <c r="G448" s="349"/>
      <c r="H448" s="349"/>
      <c r="I448" s="349"/>
      <c r="J448" s="449"/>
      <c r="K448" s="572"/>
      <c r="M448" t="str">
        <f>$C$5</f>
        <v>Aberdeen City</v>
      </c>
      <c r="N448" s="18">
        <f>VLOOKUP($C$5,'Population Projections 65+'!$A$3:$V$36,15,0)</f>
        <v>0.17218983328219289</v>
      </c>
      <c r="O448" s="18">
        <f>VLOOKUP($C$5,'Population Projections 65+'!$A$3:$V$36,16,0)</f>
        <v>0.23780300705737956</v>
      </c>
      <c r="P448" s="18">
        <f>VLOOKUP($C$5,'Population Projections 65+'!$A$3:$V$36,18,0)</f>
        <v>0.27600207325501036</v>
      </c>
      <c r="Q448" s="18">
        <f>VLOOKUP($C$5,'Population Projections 65+'!$A$3:$V$36,19,0)</f>
        <v>0.55001727712508641</v>
      </c>
      <c r="R448" s="18">
        <f>VLOOKUP($C$5,'Population Projections 65+'!$A$3:$V$36,21,0)</f>
        <v>0.26695498329074113</v>
      </c>
      <c r="S448" s="18">
        <f>VLOOKUP($C$5,'Population Projections 65+'!$A$3:$V$36,22,0)</f>
        <v>0.84470218203263225</v>
      </c>
    </row>
    <row r="449" spans="1:19" ht="12.75" customHeight="1">
      <c r="A449" s="349"/>
      <c r="B449" s="349"/>
      <c r="C449" s="349"/>
      <c r="D449" s="349"/>
      <c r="E449" s="349"/>
      <c r="F449" s="349"/>
      <c r="G449" s="349"/>
      <c r="H449" s="349"/>
      <c r="I449" s="349"/>
      <c r="J449" s="449"/>
      <c r="K449" s="572"/>
      <c r="M449" t="s">
        <v>5</v>
      </c>
      <c r="N449" s="121">
        <f>'Population Projections 65+'!O$36</f>
        <v>0.1256705782623577</v>
      </c>
      <c r="O449" s="121">
        <f>'Population Projections 65+'!P$36</f>
        <v>0.23149115324386971</v>
      </c>
      <c r="P449" s="121">
        <f>'Population Projections 65+'!R$36</f>
        <v>0.30710806646425082</v>
      </c>
      <c r="Q449" s="121">
        <f>'Population Projections 65+'!S$36</f>
        <v>0.52644069951535222</v>
      </c>
      <c r="R449" s="121">
        <f>'Population Projections 65+'!U$36</f>
        <v>0.42870850421728701</v>
      </c>
      <c r="S449" s="121">
        <f>'Population Projections 65+'!V$36</f>
        <v>1.1240965720034048</v>
      </c>
    </row>
    <row r="450" spans="1:19" ht="12.75" customHeight="1">
      <c r="A450" s="349"/>
      <c r="B450" s="349"/>
      <c r="C450" s="349"/>
      <c r="D450" s="349"/>
      <c r="E450" s="349"/>
      <c r="F450" s="349"/>
      <c r="G450" s="349"/>
      <c r="H450" s="349"/>
      <c r="I450" s="349"/>
      <c r="J450" s="449"/>
      <c r="K450" s="572"/>
    </row>
    <row r="451" spans="1:19" ht="12.75" customHeight="1">
      <c r="A451" s="349"/>
      <c r="B451" s="349"/>
      <c r="C451" s="349"/>
      <c r="D451" s="349"/>
      <c r="E451" s="349"/>
      <c r="F451" s="349"/>
      <c r="G451" s="349"/>
      <c r="H451" s="349"/>
      <c r="I451" s="349"/>
      <c r="J451" s="449"/>
      <c r="K451" s="572"/>
    </row>
    <row r="452" spans="1:19" ht="12.75" customHeight="1">
      <c r="A452" s="349"/>
      <c r="B452" s="349"/>
      <c r="C452" s="349"/>
      <c r="D452" s="349"/>
      <c r="E452" s="349"/>
      <c r="F452" s="349"/>
      <c r="G452" s="349"/>
      <c r="H452" s="349"/>
      <c r="I452" s="349"/>
      <c r="J452" s="449"/>
      <c r="K452" s="572"/>
    </row>
    <row r="453" spans="1:19" ht="12.75" customHeight="1">
      <c r="A453" s="349"/>
      <c r="B453" s="349"/>
      <c r="C453" s="349"/>
      <c r="D453" s="349"/>
      <c r="E453" s="349"/>
      <c r="F453" s="349"/>
      <c r="G453" s="349"/>
      <c r="H453" s="349"/>
      <c r="I453" s="349"/>
      <c r="J453" s="449"/>
      <c r="K453" s="572"/>
    </row>
    <row r="454" spans="1:19" ht="12.75" customHeight="1">
      <c r="A454" s="349"/>
      <c r="B454" s="349"/>
      <c r="C454" s="349"/>
      <c r="D454" s="349"/>
      <c r="E454" s="349"/>
      <c r="F454" s="349"/>
      <c r="G454" s="349"/>
      <c r="H454" s="349"/>
      <c r="I454" s="349"/>
      <c r="J454" s="449"/>
      <c r="K454" s="572"/>
    </row>
    <row r="455" spans="1:19" ht="12.75" customHeight="1">
      <c r="A455" s="349"/>
      <c r="B455" s="349"/>
      <c r="C455" s="349"/>
      <c r="D455" s="349"/>
      <c r="E455" s="349"/>
      <c r="F455" s="349"/>
      <c r="G455" s="349"/>
      <c r="H455" s="349"/>
      <c r="I455" s="349"/>
      <c r="J455" s="449"/>
      <c r="K455" s="572"/>
    </row>
    <row r="456" spans="1:19" ht="12.75" customHeight="1">
      <c r="A456" s="349"/>
      <c r="B456" s="349"/>
      <c r="C456" s="349"/>
      <c r="D456" s="349"/>
      <c r="E456" s="349"/>
      <c r="F456" s="349"/>
      <c r="G456" s="349"/>
      <c r="H456" s="349"/>
      <c r="I456" s="349"/>
      <c r="J456" s="449"/>
      <c r="K456" s="572"/>
    </row>
    <row r="457" spans="1:19" ht="18.75">
      <c r="A457" s="349"/>
      <c r="B457" s="349"/>
      <c r="C457" s="349"/>
      <c r="D457" s="349"/>
      <c r="E457" s="349"/>
      <c r="F457" s="349"/>
      <c r="G457" s="349"/>
      <c r="H457" s="349"/>
      <c r="I457" s="349"/>
      <c r="J457" s="449"/>
      <c r="K457" s="572"/>
    </row>
    <row r="458" spans="1:19" ht="18.75">
      <c r="A458" s="349"/>
      <c r="B458" s="349"/>
      <c r="C458" s="349"/>
      <c r="D458" s="349"/>
      <c r="E458" s="349"/>
      <c r="F458" s="349"/>
      <c r="G458" s="349"/>
      <c r="H458" s="349"/>
      <c r="I458" s="349"/>
      <c r="J458" s="449"/>
      <c r="K458" s="572"/>
    </row>
    <row r="463" spans="1:19" ht="28.5" customHeight="1">
      <c r="A463" s="621" t="str">
        <f>"Figure " &amp; $L$463 &amp; " - " &amp; $C$5 &amp; " and Scotland's movement in older people's social work expenditure"</f>
        <v>Figure 19 - Aberdeen City and Scotland's movement in older people's social work expenditure</v>
      </c>
      <c r="B463" s="620"/>
      <c r="C463" s="620"/>
      <c r="D463" s="620"/>
      <c r="E463" s="620"/>
      <c r="F463" s="620"/>
      <c r="G463" s="620"/>
      <c r="H463" s="620"/>
      <c r="I463" s="348"/>
      <c r="J463" s="454"/>
      <c r="K463" s="568"/>
      <c r="L463" s="320">
        <f>$L$441+1</f>
        <v>19</v>
      </c>
    </row>
    <row r="465" spans="13:24">
      <c r="M465" t="s">
        <v>25</v>
      </c>
    </row>
    <row r="466" spans="13:24" ht="25.5">
      <c r="M466" s="106"/>
      <c r="N466" s="91"/>
      <c r="O466" s="10" t="s">
        <v>321</v>
      </c>
      <c r="P466" s="10" t="s">
        <v>0</v>
      </c>
      <c r="Q466" s="10" t="s">
        <v>1</v>
      </c>
      <c r="R466" s="10" t="s">
        <v>28</v>
      </c>
      <c r="S466" s="10" t="s">
        <v>65</v>
      </c>
      <c r="T466" s="10" t="s">
        <v>267</v>
      </c>
      <c r="U466" s="10" t="s">
        <v>315</v>
      </c>
      <c r="V466" s="10" t="s">
        <v>322</v>
      </c>
      <c r="W466" s="10" t="s">
        <v>369</v>
      </c>
      <c r="X466" s="10" t="s">
        <v>382</v>
      </c>
    </row>
    <row r="467" spans="13:24">
      <c r="M467" s="629" t="str">
        <f>C5</f>
        <v>Aberdeen City</v>
      </c>
      <c r="N467" s="629"/>
      <c r="O467" s="109">
        <f>('LFR Data'!$H2/'LFR Data'!$H$2)-1</f>
        <v>0</v>
      </c>
      <c r="P467" s="109">
        <f>('LFR Data'!$H3/'LFR Data'!$H$2)-1</f>
        <v>-4.7086709371153557E-3</v>
      </c>
      <c r="Q467" s="109">
        <f>('LFR Data'!$H4/'LFR Data'!$H$2)-1</f>
        <v>3.6401671117778367E-3</v>
      </c>
      <c r="R467" s="109">
        <f>('LFR Data'!$H5/'LFR Data'!$H$2)-1</f>
        <v>-1.2404430354294504E-2</v>
      </c>
      <c r="S467" s="109">
        <f>('LFR Data'!$H6/'LFR Data'!$H$2)-1</f>
        <v>-1.0694868707463279E-2</v>
      </c>
      <c r="T467" s="109">
        <f>('LFR Data'!$H7/'LFR Data'!$H$2)-1</f>
        <v>1.7723923248672113E-2</v>
      </c>
      <c r="U467" s="109">
        <f>('LFR Data'!$H8/'LFR Data'!$H$2)-1</f>
        <v>1.4016317147538038E-2</v>
      </c>
      <c r="V467" s="109">
        <f>('LFR Data'!$H9/'LFR Data'!$H$2)-1</f>
        <v>8.578487801614787E-2</v>
      </c>
      <c r="W467" s="109">
        <f>('LFR Data'!$H10/'LFR Data'!$H$2)-1</f>
        <v>7.0180072870011712E-2</v>
      </c>
      <c r="X467" s="109">
        <f>('LFR Data'!$H11/'LFR Data'!$H$2)-1</f>
        <v>4.4419000840704603E-2</v>
      </c>
    </row>
    <row r="468" spans="13:24">
      <c r="M468" s="629" t="s">
        <v>5</v>
      </c>
      <c r="N468" s="629"/>
      <c r="O468" s="109">
        <f>('LFR Data'!$H14/'LFR Data'!$H$14)-1</f>
        <v>0</v>
      </c>
      <c r="P468" s="109">
        <f>('LFR Data'!$H15/'LFR Data'!$H$14)-1</f>
        <v>4.822141491305465E-2</v>
      </c>
      <c r="Q468" s="109">
        <f>('LFR Data'!$H16/'LFR Data'!$H$14)-1</f>
        <v>9.6412296088075777E-2</v>
      </c>
      <c r="R468" s="109">
        <f>('LFR Data'!$H17/'LFR Data'!$H$14)-1</f>
        <v>0.13419112455462789</v>
      </c>
      <c r="S468" s="109">
        <f>('LFR Data'!$H18/'LFR Data'!$H$14)-1</f>
        <v>0.1458517412208955</v>
      </c>
      <c r="T468" s="109">
        <f>('LFR Data'!$H19/'LFR Data'!$H$14)-1</f>
        <v>0.12074151465138305</v>
      </c>
      <c r="U468" s="109">
        <f>('LFR Data'!$H20/'LFR Data'!$H$14)-1</f>
        <v>0.11998942010900082</v>
      </c>
      <c r="V468" s="109">
        <f>('LFR Data'!$H21/'LFR Data'!$H$14)-1</f>
        <v>0.13226007839683174</v>
      </c>
      <c r="W468" s="109">
        <f>('LFR Data'!$H22/'LFR Data'!$H$14)-1</f>
        <v>0.12815981890511341</v>
      </c>
      <c r="X468" s="109">
        <f>('LFR Data'!$H23/'LFR Data'!$H$14)-1</f>
        <v>0.14074556040464192</v>
      </c>
    </row>
    <row r="477" spans="13:24">
      <c r="N477" s="11"/>
      <c r="O477" s="11"/>
    </row>
    <row r="481" spans="1:24">
      <c r="A481" s="346" t="str">
        <f>"- Over the period, spend has moved from £"&amp;ROUND('LFR Data'!H2,-2)/1000&amp;" million to £"&amp;ROUND('LFR Data'!H11,-2)/1000&amp;" million (in real terms)"</f>
        <v>- Over the period, spend has moved from £64.8 million to £67.7 million (in real terms)</v>
      </c>
    </row>
    <row r="482" spans="1:24">
      <c r="A482" s="346" t="str">
        <f>"- This represents a move of "&amp;ROUND('LFR Data'!H12*100,0)&amp;"%"</f>
        <v>- This represents a move of 4%</v>
      </c>
    </row>
    <row r="483" spans="1:24">
      <c r="A483" s="346" t="str">
        <f>"- Nationally, spend has moved by "&amp;ROUND('LFR Data'!H24*100,0)&amp;"%"</f>
        <v>- Nationally, spend has moved by 14%</v>
      </c>
    </row>
    <row r="484" spans="1:24">
      <c r="A484" s="346" t="str">
        <f>"- As a proportion of total social work spend in " &amp; $C$5 &amp; ", this accounts for "&amp;ROUND(D98,2)*100&amp;"% (2005/06 "&amp;ROUND(C98,2)*100&amp;"%)"</f>
        <v>- As a proportion of total social work spend in Aberdeen City, this accounts for 41% (2005/06 40%)</v>
      </c>
    </row>
    <row r="485" spans="1:24">
      <c r="A485" s="346" t="str">
        <f>"- As a proportion of total social work spend, nationally, this accounts for "&amp;ROUND(G98,2)*100&amp;"% (2005/06 "&amp;ROUND(F98,2)*100&amp;"%)"</f>
        <v>- As a proportion of total social work spend, nationally, this accounts for 44% (2005/06 45%)</v>
      </c>
    </row>
    <row r="486" spans="1:24">
      <c r="A486" s="346"/>
    </row>
    <row r="487" spans="1:24" ht="30" customHeight="1">
      <c r="A487" s="621" t="str">
        <f>"Figure " &amp; $L$487&amp;" - " &amp; $C$5 &amp; " and Scotland's older people's social work expenditure"</f>
        <v>Figure 20 - Aberdeen City and Scotland's older people's social work expenditure</v>
      </c>
      <c r="B487" s="620"/>
      <c r="C487" s="620"/>
      <c r="D487" s="620"/>
      <c r="E487" s="620"/>
      <c r="F487" s="620"/>
      <c r="G487" s="620"/>
      <c r="H487" s="620"/>
      <c r="I487" s="348"/>
      <c r="J487" s="454"/>
      <c r="K487" s="568"/>
      <c r="L487" s="320">
        <f>$L$463+1</f>
        <v>20</v>
      </c>
    </row>
    <row r="491" spans="1:24">
      <c r="M491" s="106"/>
      <c r="N491" s="91"/>
      <c r="O491" s="10" t="s">
        <v>4</v>
      </c>
      <c r="P491" s="10" t="s">
        <v>0</v>
      </c>
      <c r="Q491" s="10" t="s">
        <v>1</v>
      </c>
      <c r="R491" s="10" t="s">
        <v>28</v>
      </c>
      <c r="S491" s="10" t="s">
        <v>65</v>
      </c>
      <c r="T491" s="10" t="s">
        <v>267</v>
      </c>
      <c r="U491" s="10" t="s">
        <v>315</v>
      </c>
      <c r="V491" s="10" t="s">
        <v>322</v>
      </c>
      <c r="W491" s="10" t="s">
        <v>369</v>
      </c>
      <c r="X491" s="10" t="s">
        <v>382</v>
      </c>
    </row>
    <row r="492" spans="1:24">
      <c r="M492" s="629" t="str">
        <f>C5</f>
        <v>Aberdeen City</v>
      </c>
      <c r="N492" s="629"/>
      <c r="O492" s="108">
        <f>VLOOKUP(Cover!$C$5,'2005-06'!$O$2:$AA$34,6)</f>
        <v>2001.6056693019741</v>
      </c>
      <c r="P492" s="108">
        <f>VLOOKUP(Cover!$C$5,'2006-07'!$O$2:$AA$35,6)</f>
        <v>1999.2154777818657</v>
      </c>
      <c r="Q492" s="108">
        <f>VLOOKUP(Cover!$C$5,'2007-08'!$O$2:$AA$34,6)</f>
        <v>2016.8601830008947</v>
      </c>
      <c r="R492" s="108">
        <f>VLOOKUP(Cover!$C$5, '2008-09'!$O$2:$AA$34,6)</f>
        <v>1989.2411157155209</v>
      </c>
      <c r="S492" s="108">
        <f>VLOOKUP(Cover!$C$5,'2009-10'!$O$2:$AA$34,6)</f>
        <v>1992.8083561375624</v>
      </c>
      <c r="T492" s="108">
        <f>VLOOKUP(Cover!$C$5,'2010-11'!$O$2:$AA$34,6)</f>
        <v>2055.6730045711151</v>
      </c>
      <c r="U492" s="108">
        <f>VLOOKUP(Cover!$C$5,'2011-12'!$O$2:$AA$34,6)</f>
        <v>2039.0384475611527</v>
      </c>
      <c r="V492" s="108">
        <f>VLOOKUP(Cover!$C$5,'2012-13'!$O$2:$AA$34,6)</f>
        <v>2122.9873967315925</v>
      </c>
      <c r="W492" s="108">
        <f>VLOOKUP(Cover!$C$5,'2013-14'!$O$2:$AA$34,6)</f>
        <v>2058.5251765310081</v>
      </c>
      <c r="X492" s="108">
        <f>VLOOKUP(Cover!$C$5,'2014-15'!$O$2:$AA$34,6)</f>
        <v>2008.972940705366</v>
      </c>
    </row>
    <row r="493" spans="1:24">
      <c r="M493" s="629" t="s">
        <v>5</v>
      </c>
      <c r="N493" s="629"/>
      <c r="O493" s="108">
        <f>'2005-06'!$T$35</f>
        <v>1782.7640193268971</v>
      </c>
      <c r="P493" s="108">
        <f>'2006-07'!$T$35</f>
        <v>1857.8620376218603</v>
      </c>
      <c r="Q493" s="108">
        <f>'2007-08'!$T$35</f>
        <v>1925.7065761209928</v>
      </c>
      <c r="R493" s="108">
        <f>'2008-09'!$T$35</f>
        <v>1966.6403310508738</v>
      </c>
      <c r="S493" s="108">
        <f>'2009-10'!$T$35</f>
        <v>1959.4783648936741</v>
      </c>
      <c r="T493" s="108">
        <f>'2010-11'!$T$35</f>
        <v>1892.6113186344255</v>
      </c>
      <c r="U493" s="108">
        <f>'2011-12'!$T$35</f>
        <v>1855.7410778513888</v>
      </c>
      <c r="V493" s="108">
        <f>'2012-13'!$T$35</f>
        <v>1816.5186967121829</v>
      </c>
      <c r="W493" s="108">
        <f>'2013-14'!$T$35</f>
        <v>1769.5865433060389</v>
      </c>
      <c r="X493" s="108">
        <f>'2014-15'!$T$35</f>
        <v>1789.3280359756757</v>
      </c>
    </row>
    <row r="494" spans="1:24">
      <c r="N494" t="s">
        <v>160</v>
      </c>
      <c r="O494" s="11">
        <f>MIN('2005-06'!$T$3:$T$34)</f>
        <v>1128.1241915949995</v>
      </c>
      <c r="P494" s="11">
        <f>MIN('2006-07'!$T$3:$T$34)</f>
        <v>1205.0569635348493</v>
      </c>
      <c r="Q494" s="11">
        <f>MIN('2007-08'!$T$3:$T$34)</f>
        <v>1244.0992076183945</v>
      </c>
      <c r="R494" s="11">
        <f>MIN('2008-09'!$T$3:$T$34)</f>
        <v>1273.1423997518855</v>
      </c>
      <c r="S494" s="11">
        <f>MIN('2009-10'!$T$3:$T$34)</f>
        <v>1262.5931821738614</v>
      </c>
      <c r="T494" s="11">
        <f>MIN('2010-11'!$T$3:$T$34)</f>
        <v>1278.9201268982233</v>
      </c>
      <c r="U494" s="11">
        <f>MIN('2011-12'!$T$2:$T$34)</f>
        <v>1459.748453347454</v>
      </c>
      <c r="V494" s="11">
        <f>MIN('2012-13'!$T$2:$T$34)</f>
        <v>1424.0790365802475</v>
      </c>
      <c r="W494" s="11">
        <f>MIN('2013-14'!$T$2:$T$34)</f>
        <v>1183.7819813586555</v>
      </c>
      <c r="X494" s="11">
        <f>MIN('2014-15'!$T$2:$T$34)</f>
        <v>1131.9139683290002</v>
      </c>
    </row>
    <row r="495" spans="1:24">
      <c r="N495" t="s">
        <v>161</v>
      </c>
      <c r="O495" s="11">
        <f>MAX('2005-06'!$T$3:$T$34)</f>
        <v>3471.7851428194872</v>
      </c>
      <c r="P495" s="11">
        <f>MAX('2006-07'!$T$3:$T$34)</f>
        <v>3283.1972982154457</v>
      </c>
      <c r="Q495" s="11">
        <f>MAX('2007-08'!$T$3:$T$34)</f>
        <v>3087.5163940941525</v>
      </c>
      <c r="R495" s="11">
        <f>MAX('2008-09'!$T$3:$T$34)</f>
        <v>3441.0112593310623</v>
      </c>
      <c r="S495" s="11">
        <f>MAX('2009-10'!$T$3:$T$34)</f>
        <v>4553.0543063717223</v>
      </c>
      <c r="T495" s="11">
        <f>MAX('2010-11'!$T$3:$T$34)</f>
        <v>4728.2862854042587</v>
      </c>
      <c r="U495" s="11">
        <f>MAX('2011-12'!$T$3:$T$34)</f>
        <v>5387.756836395859</v>
      </c>
      <c r="V495" s="11">
        <f>MAX('2012-13'!$T$3:$T$34)</f>
        <v>5054.2440984429932</v>
      </c>
      <c r="W495" s="11">
        <f>MAX('2013-14'!$T$3:$T$34)</f>
        <v>4275.2805947636489</v>
      </c>
      <c r="X495" s="11">
        <f>MAX('2014-15'!$T$3:$T$34)</f>
        <v>4130.4737021691453</v>
      </c>
    </row>
    <row r="507" spans="1:12">
      <c r="A507" s="346" t="str">
        <f>"- The spend per head of population aged 65+ in 2014/15:"</f>
        <v>- The spend per head of population aged 65+ in 2014/15:</v>
      </c>
    </row>
    <row r="508" spans="1:12">
      <c r="A508" s="346" t="str">
        <f>"      - In " &amp;$C$5 &amp;" has moved from £"&amp;ROUND(O492,0)&amp;" to £"&amp;ROUND(X492,0)</f>
        <v xml:space="preserve">      - In Aberdeen City has moved from £2002 to £2009</v>
      </c>
    </row>
    <row r="509" spans="1:12">
      <c r="A509" s="346" t="str">
        <f>"      - The average spend per head across Scotland has moved from £"&amp;ROUND(O493,0)&amp;" to £"&amp;ROUND(X493,0)</f>
        <v xml:space="preserve">      - The average spend per head across Scotland has moved from £1783 to £1789</v>
      </c>
    </row>
    <row r="510" spans="1:12">
      <c r="A510" s="346"/>
    </row>
    <row r="511" spans="1:12">
      <c r="A511" s="621" t="str">
        <f>"Figure " &amp; $L$511 &amp; " - Older people social work spend per head across Scotland"</f>
        <v>Figure 21 - Older people social work spend per head across Scotland</v>
      </c>
      <c r="B511" s="620"/>
      <c r="C511" s="620"/>
      <c r="D511" s="620"/>
      <c r="E511" s="620"/>
      <c r="F511" s="620"/>
      <c r="G511" s="620"/>
      <c r="H511" s="620"/>
      <c r="I511" s="348"/>
      <c r="J511" s="454"/>
      <c r="K511" s="568"/>
      <c r="L511" s="320">
        <f>$L$487+1</f>
        <v>21</v>
      </c>
    </row>
    <row r="512" spans="1:12">
      <c r="A512" s="293"/>
    </row>
    <row r="528" spans="1:1">
      <c r="A528" s="346"/>
    </row>
    <row r="529" spans="1:24">
      <c r="A529" s="346"/>
    </row>
    <row r="530" spans="1:24">
      <c r="A530" s="346"/>
    </row>
    <row r="532" spans="1:24" ht="13.5" customHeight="1">
      <c r="A532" s="619" t="str">
        <f>"- This spend equates to £"&amp;ROUND('Per Capita Data - Older'!D36,0)&amp;" per head of population in "&amp;$C$5 &amp; " in 2014/15"</f>
        <v>- This spend equates to £2081 per head of population in Aberdeen City in 2014/15</v>
      </c>
      <c r="B532" s="620"/>
      <c r="C532" s="620"/>
      <c r="D532" s="620"/>
      <c r="E532" s="620"/>
      <c r="F532" s="620"/>
      <c r="G532" s="620"/>
      <c r="H532" s="620"/>
      <c r="I532" s="348"/>
      <c r="J532" s="454"/>
      <c r="K532" s="568"/>
    </row>
    <row r="533" spans="1:24" ht="13.5" customHeight="1">
      <c r="A533" s="619" t="str">
        <f>"- The spend per head nationally in 2014/15 was £"&amp;ROUND('Per Capita Data - Older'!D39,0) &amp; " (represented by the horizontal line)"</f>
        <v>- The spend per head nationally in 2014/15 was £1853 (represented by the horizontal line)</v>
      </c>
      <c r="B533" s="620"/>
      <c r="C533" s="620"/>
      <c r="D533" s="620"/>
      <c r="E533" s="620"/>
      <c r="F533" s="620"/>
      <c r="G533" s="620"/>
      <c r="H533" s="620"/>
      <c r="I533" s="348"/>
      <c r="J533" s="454"/>
      <c r="K533" s="568"/>
    </row>
    <row r="534" spans="1:24" ht="13.5" customHeight="1">
      <c r="A534" s="284" t="str">
        <f>"- The range of spend per head in 2014/15 was £"&amp;ROUND('Per Capita Data - Older'!D37,0)&amp;" to £"&amp;ROUND('Per Capita Data - Older'!D38,0)</f>
        <v>- The range of spend per head in 2014/15 was £1172 to £4278</v>
      </c>
    </row>
    <row r="536" spans="1:24" ht="28.5" customHeight="1">
      <c r="A536" s="621" t="str">
        <f>"Figure " &amp; $L$536 &amp; " - " &amp; $C$5 &amp; " and Scotland's rate of older people supported in care homes"</f>
        <v>Figure 22 - Aberdeen City and Scotland's rate of older people supported in care homes</v>
      </c>
      <c r="B536" s="620"/>
      <c r="C536" s="620"/>
      <c r="D536" s="620"/>
      <c r="E536" s="620"/>
      <c r="F536" s="620"/>
      <c r="G536" s="620"/>
      <c r="H536" s="620"/>
      <c r="I536" s="348"/>
      <c r="J536" s="454"/>
      <c r="K536" s="568"/>
      <c r="L536" s="320">
        <f>$L$511+1</f>
        <v>22</v>
      </c>
    </row>
    <row r="540" spans="1:24">
      <c r="O540" s="426" t="s">
        <v>4</v>
      </c>
      <c r="P540" s="426" t="s">
        <v>0</v>
      </c>
      <c r="Q540" s="426" t="s">
        <v>1</v>
      </c>
      <c r="R540" s="426" t="s">
        <v>28</v>
      </c>
      <c r="S540" s="426" t="s">
        <v>65</v>
      </c>
      <c r="T540" s="426" t="s">
        <v>267</v>
      </c>
      <c r="U540" s="426" t="s">
        <v>315</v>
      </c>
      <c r="V540" s="421" t="s">
        <v>322</v>
      </c>
      <c r="W540" s="421" t="s">
        <v>369</v>
      </c>
      <c r="X540" s="421" t="s">
        <v>382</v>
      </c>
    </row>
    <row r="541" spans="1:24">
      <c r="N541" t="str">
        <f>$C$5</f>
        <v>Aberdeen City</v>
      </c>
      <c r="O541" s="90">
        <f>VLOOKUP($C$5,'Statistics - Older People'!$A$19:$U$52,13,0)</f>
        <v>41.506628670548878</v>
      </c>
      <c r="P541" s="90">
        <f>VLOOKUP($C$5,'Statistics - Older People'!$A$19:$U$52,14,0)</f>
        <v>50.489406517160205</v>
      </c>
      <c r="Q541" s="90">
        <f>VLOOKUP($C$5,'Statistics - Older People'!$A$19:$U$52,15,0)</f>
        <v>49.271769445305239</v>
      </c>
      <c r="R541" s="90">
        <f>VLOOKUP($C$5,'Statistics - Older People'!$A$19:$U$52,16,0)</f>
        <v>47.833514520888343</v>
      </c>
      <c r="S541" s="90">
        <f>VLOOKUP($C$5,'Statistics - Older People'!$A$19:$U$52,17,0)</f>
        <v>47.525859658932063</v>
      </c>
      <c r="T541" s="90">
        <f>VLOOKUP($C$5,'Statistics - Older People'!$A$19:$U$52,18,0)</f>
        <v>47.96760629185485</v>
      </c>
      <c r="U541" s="90">
        <f>VLOOKUP($C$5,'Statistics - Older People'!$A$19:$U$52,19,0)</f>
        <v>44.652547365809795</v>
      </c>
      <c r="V541" s="90">
        <f>VLOOKUP($C$5,'Statistics - Older People'!$A$19:$U$52,20,0)</f>
        <v>36.181631791593801</v>
      </c>
      <c r="W541" s="90">
        <f>VLOOKUP($C$5,'Statistics - Older People'!$A$19:$U$52,21,0)</f>
        <v>39.747278497908816</v>
      </c>
      <c r="X541" s="90">
        <f>VLOOKUP($C$5,'Statistics - Older People'!$A$19:$V$52,22,0)</f>
        <v>39.403403286535706</v>
      </c>
    </row>
    <row r="542" spans="1:24">
      <c r="N542" t="s">
        <v>5</v>
      </c>
      <c r="O542" s="90">
        <f>'Statistics - Older People'!M$52</f>
        <v>38.435038543069567</v>
      </c>
      <c r="P542" s="90">
        <f>'Statistics - Older People'!N$52</f>
        <v>37.805739598648159</v>
      </c>
      <c r="Q542" s="90">
        <f>'Statistics - Older People'!O$52</f>
        <v>37.523074976378084</v>
      </c>
      <c r="R542" s="90">
        <f>'Statistics - Older People'!P$52</f>
        <v>36.810761397851593</v>
      </c>
      <c r="S542" s="90">
        <f>'Statistics - Older People'!Q$52</f>
        <v>36.234387089642972</v>
      </c>
      <c r="T542" s="90">
        <f>'Statistics - Older People'!R$52</f>
        <v>35.270360617265418</v>
      </c>
      <c r="U542" s="90">
        <f>'Statistics - Older People'!S$52</f>
        <v>34.305259916730257</v>
      </c>
      <c r="V542" s="90">
        <f>'Statistics - Older People'!T$52</f>
        <v>32.535746653257739</v>
      </c>
      <c r="W542" s="90">
        <f>'Statistics - Older People'!U$52</f>
        <v>32.106051357008731</v>
      </c>
      <c r="X542" s="90">
        <f>'Statistics - Older People'!V$52</f>
        <v>31.24777336380318</v>
      </c>
    </row>
    <row r="543" spans="1:24">
      <c r="N543" t="s">
        <v>160</v>
      </c>
      <c r="O543" s="90">
        <f>MIN('Statistics - Older People'!M$20:M$51)</f>
        <v>26.46280505733608</v>
      </c>
      <c r="P543" s="90">
        <f>MIN('Statistics - Older People'!N$20:N$51)</f>
        <v>26.191723415400734</v>
      </c>
      <c r="Q543" s="90">
        <f>MIN('Statistics - Older People'!O$20:O$51)</f>
        <v>27.048958615093319</v>
      </c>
      <c r="R543" s="90">
        <f>MIN('Statistics - Older People'!P$20:P$51)</f>
        <v>28.336639274582033</v>
      </c>
      <c r="S543" s="90">
        <f>MIN('Statistics - Older People'!Q$20:Q$51)</f>
        <v>27.258738184216309</v>
      </c>
      <c r="T543" s="90">
        <f>MIN('Statistics - Older People'!R$20:R$51)</f>
        <v>25.100401606425702</v>
      </c>
      <c r="U543" s="90">
        <f>MIN('Statistics - Older People'!S$20:S$51)</f>
        <v>23.424689622862495</v>
      </c>
      <c r="V543" s="90">
        <f>MIN('Statistics - Older People'!T$20:T$51)</f>
        <v>22.471910112359549</v>
      </c>
      <c r="W543" s="90">
        <f>MIN('Statistics - Older People'!U$20:U$51)</f>
        <v>21.929824561403507</v>
      </c>
      <c r="X543" s="90">
        <f>MIN('Statistics - Older People'!V$20:V$51)</f>
        <v>21.199915200339198</v>
      </c>
    </row>
    <row r="544" spans="1:24">
      <c r="N544" t="s">
        <v>161</v>
      </c>
      <c r="O544" s="90">
        <f>MAX('Statistics - Older People'!M$20:M$51)</f>
        <v>44.986918277711347</v>
      </c>
      <c r="P544" s="90">
        <f>MAX('Statistics - Older People'!N$20:N$51)</f>
        <v>53.629142052113792</v>
      </c>
      <c r="Q544" s="90">
        <f>MAX('Statistics - Older People'!O$20:O$51)</f>
        <v>53.210656545030872</v>
      </c>
      <c r="R544" s="90">
        <f>MAX('Statistics - Older People'!P$20:P$51)</f>
        <v>52.164840897235266</v>
      </c>
      <c r="S544" s="90">
        <f>MAX('Statistics - Older People'!Q$20:Q$51)</f>
        <v>51.260669086628084</v>
      </c>
      <c r="T544" s="90">
        <f>MAX('Statistics - Older People'!R$20:R$51)</f>
        <v>49.46638141053387</v>
      </c>
      <c r="U544" s="90">
        <f>MAX('Statistics - Older People'!S$20:S$51)</f>
        <v>48.145311303206043</v>
      </c>
      <c r="V544" s="90">
        <f>MAX('Statistics - Older People'!T$20:T$51)</f>
        <v>47.011740880927697</v>
      </c>
      <c r="W544" s="90">
        <f>MAX('Statistics - Older People'!U$20:U$51)</f>
        <v>45.678018054837665</v>
      </c>
      <c r="X544" s="90">
        <f>MAX('Statistics - Older People'!V$20:V$51)</f>
        <v>43.336944745395449</v>
      </c>
    </row>
    <row r="555" spans="1:12">
      <c r="A555" s="346" t="str">
        <f>"- The rate of older people supported in care homes per 1,000 population aged 65+:"</f>
        <v>- The rate of older people supported in care homes per 1,000 population aged 65+:</v>
      </c>
    </row>
    <row r="556" spans="1:12">
      <c r="A556" s="284" t="str">
        <f>"      - In " &amp; $C$5&amp;" has moved from " &amp; TEXT($O$541,"0.0") &amp; " to " &amp; TEXT($X$541,"0.0")</f>
        <v xml:space="preserve">      - In Aberdeen City has moved from 41.5 to 39.4</v>
      </c>
    </row>
    <row r="557" spans="1:12">
      <c r="A557" s="346" t="str">
        <f>"      - The average rate in Scotland has moved from "&amp;TEXT($O$542,"0.0")&amp;" to " &amp; TEXT($X$542,"0.0") &amp; " per 1,000 population"</f>
        <v xml:space="preserve">      - The average rate in Scotland has moved from 38.4 to 31.2 per 1,000 population</v>
      </c>
    </row>
    <row r="559" spans="1:12" ht="15.75" customHeight="1">
      <c r="A559" s="621" t="str">
        <f>"Figure " &amp; $L$559 &amp; " - Rates of older people supported in care homes across Scotland"</f>
        <v>Figure 23 - Rates of older people supported in care homes across Scotland</v>
      </c>
      <c r="B559" s="620"/>
      <c r="C559" s="620"/>
      <c r="D559" s="620"/>
      <c r="E559" s="620"/>
      <c r="F559" s="620"/>
      <c r="G559" s="620"/>
      <c r="H559" s="620"/>
      <c r="I559" s="348"/>
      <c r="J559" s="454"/>
      <c r="K559" s="568"/>
      <c r="L559" s="320">
        <f>$L$536+1</f>
        <v>23</v>
      </c>
    </row>
    <row r="580" spans="1:23" ht="30.75" customHeight="1">
      <c r="A580" s="616" t="str">
        <f>"- In 2014/15 in " &amp; $C$5 &amp; " the rate of older people supported in care homes was " &amp; TEXT($X$541,"0.0") &amp; " per 1,000 population"</f>
        <v>- In 2014/15 in Aberdeen City the rate of older people supported in care homes was 39.4 per 1,000 population</v>
      </c>
      <c r="B580" s="616"/>
      <c r="C580" s="616"/>
      <c r="D580" s="616"/>
      <c r="E580" s="616"/>
      <c r="F580" s="616"/>
      <c r="G580" s="616"/>
      <c r="H580" s="616"/>
      <c r="I580" s="616"/>
      <c r="J580" s="467"/>
      <c r="K580" s="590"/>
      <c r="W580" s="90"/>
    </row>
    <row r="581" spans="1:23" ht="28.5" customHeight="1">
      <c r="A581" s="616" t="str">
        <f>"- The average rate in Scotland in 2014/15 was " &amp;TEXT($X$542,"0.0") &amp; " per 1,000 population (represented by the horizontal line)"</f>
        <v>- The average rate in Scotland in 2014/15 was 31.2 per 1,000 population (represented by the horizontal line)</v>
      </c>
      <c r="B581" s="616"/>
      <c r="C581" s="616"/>
      <c r="D581" s="616"/>
      <c r="E581" s="616"/>
      <c r="F581" s="616"/>
      <c r="G581" s="616"/>
      <c r="H581" s="616"/>
      <c r="I581" s="616"/>
      <c r="J581" s="467"/>
      <c r="K581" s="590"/>
      <c r="W581" s="90"/>
    </row>
    <row r="582" spans="1:23" ht="27" customHeight="1">
      <c r="A582" s="616" t="str">
        <f>"- In 2014/15 rates of older people supported in care homes ranged from " &amp; TEXT('Statistics - Older People'!$S$54,"0.0") &amp; " to " &amp; TEXT('Statistics - Older People'!$S$55,"0.0") &amp; " per 1,000 population aged 65+"</f>
        <v>- In 2014/15 rates of older people supported in care homes ranged from 21.2 to 43.3 per 1,000 population aged 65+</v>
      </c>
      <c r="B582" s="616"/>
      <c r="C582" s="616"/>
      <c r="D582" s="616"/>
      <c r="E582" s="616"/>
      <c r="F582" s="616"/>
      <c r="G582" s="616"/>
      <c r="H582" s="616"/>
      <c r="I582" s="616"/>
      <c r="J582" s="467"/>
      <c r="K582" s="590"/>
    </row>
    <row r="583" spans="1:23" ht="26.25" customHeight="1">
      <c r="A583" s="621" t="str">
        <f>"Figure " &amp; $L$583 &amp; " - " &amp; $C$5 &amp; " and Scotland's rate of total home care hours provided"</f>
        <v>Figure 24 - Aberdeen City and Scotland's rate of total home care hours provided</v>
      </c>
      <c r="B583" s="620"/>
      <c r="C583" s="620"/>
      <c r="D583" s="620"/>
      <c r="E583" s="620"/>
      <c r="F583" s="620"/>
      <c r="G583" s="620"/>
      <c r="H583" s="620"/>
      <c r="I583" s="348"/>
      <c r="J583" s="454"/>
      <c r="K583" s="568"/>
      <c r="L583" s="320">
        <f>$L$559+1</f>
        <v>24</v>
      </c>
    </row>
    <row r="584" spans="1:23">
      <c r="A584" s="293"/>
      <c r="N584" s="91"/>
      <c r="O584" s="91">
        <v>2007</v>
      </c>
      <c r="P584" s="91">
        <v>2008</v>
      </c>
      <c r="Q584" s="91">
        <v>2009</v>
      </c>
      <c r="R584" s="91">
        <v>2010</v>
      </c>
      <c r="S584" s="91">
        <v>2011</v>
      </c>
      <c r="T584" s="91">
        <v>2012</v>
      </c>
      <c r="U584" s="91">
        <v>2013</v>
      </c>
      <c r="V584" s="91">
        <v>2014</v>
      </c>
      <c r="W584" s="91">
        <v>2015</v>
      </c>
    </row>
    <row r="585" spans="1:23">
      <c r="A585" s="293"/>
      <c r="N585" s="110" t="str">
        <f>C5</f>
        <v>Aberdeen City</v>
      </c>
      <c r="O585" s="93">
        <f>VLOOKUP($C$5,'Statistics - Older People'!$A$102:$S$135,11,0)</f>
        <v>707.49922528664399</v>
      </c>
      <c r="P585" s="93">
        <f>VLOOKUP($C$5,'Statistics - Older People'!$A$102:$Q$135,12,0)</f>
        <v>540.89144277061655</v>
      </c>
      <c r="Q585" s="93">
        <f>VLOOKUP($C$5,'Statistics - Older People'!$A$102:$Q$135,13,0)</f>
        <v>471.42080576522847</v>
      </c>
      <c r="R585" s="93">
        <f>VLOOKUP($C$5,'Statistics - Older People'!$A$102:$Q$135,14,0)</f>
        <v>485.85360535742097</v>
      </c>
      <c r="S585" s="93">
        <f>VLOOKUP($C$5,'Statistics - Older People'!$A$102:$Q$135,15,0)</f>
        <v>503.28382275419392</v>
      </c>
      <c r="T585" s="93">
        <f>VLOOKUP($C$5,'Statistics - Older People'!$A$102:$Q$135,16,0)</f>
        <v>497.46728577458845</v>
      </c>
      <c r="U585" s="93">
        <f>VLOOKUP($C$5,'Statistics - Older People'!$A$102:$Q$135,17,0)</f>
        <v>438.99979236496307</v>
      </c>
      <c r="V585" s="93">
        <f>VLOOKUP($C$5,'Statistics - Older People'!$A$102:$R$135,18,0)</f>
        <v>539.97256355623017</v>
      </c>
      <c r="W585" s="93">
        <f>VLOOKUP($C$5,'Statistics - Older People'!$A$102:$S$135,19,0)</f>
        <v>522.45993987332542</v>
      </c>
    </row>
    <row r="586" spans="1:23">
      <c r="A586" s="293"/>
      <c r="N586" s="110" t="s">
        <v>5</v>
      </c>
      <c r="O586" s="93">
        <f>'Statistics - Older People'!K135</f>
        <v>762.80875530532285</v>
      </c>
      <c r="P586" s="93">
        <f>'Statistics - Older People'!L135</f>
        <v>760.04824042692542</v>
      </c>
      <c r="Q586" s="93">
        <f>'Statistics - Older People'!M135</f>
        <v>743.48698108565759</v>
      </c>
      <c r="R586" s="93">
        <f>'Statistics - Older People'!N135</f>
        <v>757.74887093913298</v>
      </c>
      <c r="S586" s="93">
        <f>'Statistics - Older People'!O135</f>
        <v>762.91283451811989</v>
      </c>
      <c r="T586" s="93">
        <f>'Statistics - Older People'!P135</f>
        <v>770.07100181366263</v>
      </c>
      <c r="U586" s="93">
        <f>'Statistics - Older People'!Q135</f>
        <v>666.5174016910596</v>
      </c>
      <c r="V586" s="93">
        <f>'Statistics - Older People'!R135</f>
        <v>701.06124708149309</v>
      </c>
      <c r="W586" s="93">
        <f>'Statistics - Older People'!S135</f>
        <v>729.04586896381522</v>
      </c>
    </row>
    <row r="587" spans="1:23">
      <c r="A587" s="293"/>
      <c r="N587" t="s">
        <v>160</v>
      </c>
      <c r="O587" s="90">
        <f>MIN('Statistics - Older People'!K$103:K$134)</f>
        <v>312.84814504678343</v>
      </c>
      <c r="P587" s="90">
        <f>MIN('Statistics - Older People'!L$103:L$134)</f>
        <v>290.80779944289691</v>
      </c>
      <c r="Q587" s="90">
        <f>MIN('Statistics - Older People'!M$103:M$134)</f>
        <v>294.39635535307519</v>
      </c>
      <c r="R587" s="90">
        <f>MIN('Statistics - Older People'!N$103:N$134)</f>
        <v>294.07105050686283</v>
      </c>
      <c r="S587" s="90">
        <f>MIN('Statistics - Older People'!O$103:O$134)</f>
        <v>270.92928162527443</v>
      </c>
      <c r="T587" s="90">
        <f>MIN('Statistics - Older People'!P$103:P$134)</f>
        <v>272.2208467442436</v>
      </c>
      <c r="U587" s="90">
        <f>MIN('Statistics - Older People'!Q$103:Q$134)</f>
        <v>248.39743589743591</v>
      </c>
      <c r="V587" s="90">
        <f>MIN('Statistics - Older People'!R$103:R$134)</f>
        <v>295.74091429761535</v>
      </c>
      <c r="W587" s="90">
        <f>MIN('Statistics - Older People'!S$103:S$134)</f>
        <v>289.49286681245445</v>
      </c>
    </row>
    <row r="588" spans="1:23">
      <c r="A588" s="293"/>
      <c r="N588" t="s">
        <v>161</v>
      </c>
      <c r="O588" s="90">
        <f>MAX('Statistics - Older People'!K$103:K$134)</f>
        <v>1438.0488233227959</v>
      </c>
      <c r="P588" s="90">
        <f>MAX('Statistics - Older People'!L$103:L$134)</f>
        <v>1548.8510711817553</v>
      </c>
      <c r="Q588" s="90">
        <f>MAX('Statistics - Older People'!M$103:M$134)</f>
        <v>1569.191333276465</v>
      </c>
      <c r="R588" s="90">
        <f>MAX('Statistics - Older People'!N$103:N$134)</f>
        <v>1562.4748812376508</v>
      </c>
      <c r="S588" s="90">
        <f>MAX('Statistics - Older People'!O$103:O$134)</f>
        <v>1635.7225315212052</v>
      </c>
      <c r="T588" s="90">
        <f>MAX('Statistics - Older People'!P$103:P$134)</f>
        <v>1492.1018250920463</v>
      </c>
      <c r="U588" s="90">
        <f>MAX('Statistics - Older People'!Q$103:Q$134)</f>
        <v>1146.5968586387435</v>
      </c>
      <c r="V588" s="90">
        <f>MAX('Statistics - Older People'!R$103:R$134)</f>
        <v>1123.30734509643</v>
      </c>
      <c r="W588" s="90">
        <f>MAX('Statistics - Older People'!S$103:S$134)</f>
        <v>1122.7015558698727</v>
      </c>
    </row>
    <row r="589" spans="1:23">
      <c r="A589" s="293"/>
    </row>
    <row r="590" spans="1:23">
      <c r="A590" s="293"/>
    </row>
    <row r="591" spans="1:23">
      <c r="A591" s="293"/>
    </row>
    <row r="592" spans="1:23">
      <c r="A592" s="293"/>
    </row>
    <row r="593" spans="1:12">
      <c r="A593" s="293"/>
    </row>
    <row r="594" spans="1:12">
      <c r="A594" s="293"/>
    </row>
    <row r="595" spans="1:12">
      <c r="A595" s="293"/>
    </row>
    <row r="596" spans="1:12">
      <c r="A596" s="293"/>
    </row>
    <row r="597" spans="1:12">
      <c r="A597" s="293"/>
    </row>
    <row r="598" spans="1:12">
      <c r="A598" s="293"/>
    </row>
    <row r="599" spans="1:12" ht="27" customHeight="1">
      <c r="A599" s="618" t="str">
        <f>"- Between 2007 and 2015, the total rate of home care hours (all care groups) provided per 1,000 population aged 65+:"</f>
        <v>- Between 2007 and 2015, the total rate of home care hours (all care groups) provided per 1,000 population aged 65+:</v>
      </c>
      <c r="B599" s="618"/>
      <c r="C599" s="618"/>
      <c r="D599" s="618"/>
      <c r="E599" s="618"/>
      <c r="F599" s="618"/>
      <c r="G599" s="618"/>
      <c r="H599" s="618"/>
      <c r="I599" s="618"/>
      <c r="J599" s="455"/>
      <c r="K599" s="570"/>
    </row>
    <row r="600" spans="1:12" ht="28.5" customHeight="1">
      <c r="A600" s="618" t="str">
        <f>"      - In " &amp; $C$5&amp;" had moved from " &amp; TEXT($O$585,"0.0") &amp; " in 2007 to " &amp; TEXT(W585,"0.0") &amp; " per 1,000 population in 2015"</f>
        <v xml:space="preserve">      - In Aberdeen City had moved from 707.5 in 2007 to 522.5 per 1,000 population in 2015</v>
      </c>
      <c r="B600" s="618"/>
      <c r="C600" s="618"/>
      <c r="D600" s="618"/>
      <c r="E600" s="618"/>
      <c r="F600" s="618"/>
      <c r="G600" s="618"/>
      <c r="H600" s="618"/>
      <c r="I600" s="618"/>
      <c r="J600" s="455"/>
      <c r="K600" s="570"/>
    </row>
    <row r="601" spans="1:12" ht="28.5" customHeight="1">
      <c r="A601" s="618" t="str">
        <f>"      - The average rate in Scotland has moved from "&amp;TEXT($O$586,"0.0")&amp;" in 2007 to " &amp; TEXT(W586,"0.0") &amp; " per 1,000 population in 2015"</f>
        <v xml:space="preserve">      - The average rate in Scotland has moved from 762.8 in 2007 to 729.0 per 1,000 population in 2015</v>
      </c>
      <c r="B601" s="618"/>
      <c r="C601" s="618"/>
      <c r="D601" s="618"/>
      <c r="E601" s="618"/>
      <c r="F601" s="618"/>
      <c r="G601" s="618"/>
      <c r="H601" s="618"/>
      <c r="I601" s="618"/>
      <c r="J601" s="455"/>
      <c r="K601" s="570"/>
    </row>
    <row r="602" spans="1:12">
      <c r="A602" s="346"/>
    </row>
    <row r="603" spans="1:12">
      <c r="A603" s="381" t="str">
        <f>"Figure " &amp; $L$603 &amp; " - Total rates of home care hours provided across Scotland"</f>
        <v>Figure 25 - Total rates of home care hours provided across Scotland</v>
      </c>
      <c r="L603" s="320">
        <f>$L$583+1</f>
        <v>25</v>
      </c>
    </row>
    <row r="604" spans="1:12">
      <c r="A604" s="346"/>
    </row>
    <row r="605" spans="1:12">
      <c r="A605" s="346"/>
    </row>
    <row r="606" spans="1:12">
      <c r="A606" s="346"/>
    </row>
    <row r="607" spans="1:12">
      <c r="A607" s="346"/>
    </row>
    <row r="608" spans="1:12">
      <c r="A608" s="346"/>
    </row>
    <row r="609" spans="1:11">
      <c r="A609" s="346"/>
    </row>
    <row r="610" spans="1:11">
      <c r="A610" s="346"/>
    </row>
    <row r="611" spans="1:11">
      <c r="A611" s="346"/>
    </row>
    <row r="612" spans="1:11">
      <c r="A612" s="346"/>
    </row>
    <row r="613" spans="1:11">
      <c r="A613" s="346"/>
    </row>
    <row r="614" spans="1:11">
      <c r="A614" s="346"/>
    </row>
    <row r="615" spans="1:11">
      <c r="A615" s="346"/>
    </row>
    <row r="616" spans="1:11">
      <c r="A616" s="346"/>
    </row>
    <row r="617" spans="1:11">
      <c r="A617" s="346"/>
    </row>
    <row r="618" spans="1:11">
      <c r="A618" s="346"/>
    </row>
    <row r="619" spans="1:11">
      <c r="A619" s="346"/>
    </row>
    <row r="620" spans="1:11">
      <c r="A620" s="346"/>
    </row>
    <row r="621" spans="1:11">
      <c r="A621" s="346"/>
    </row>
    <row r="622" spans="1:11">
      <c r="A622" s="346"/>
    </row>
    <row r="623" spans="1:11" ht="30.75" customHeight="1">
      <c r="A623" s="618" t="str">
        <f>"- At March 2015, the total rate of home care hours provided by " &amp; $C$5 &amp; " was " &amp; TEXT(W585,"0.0") &amp; " hours per 1,000 population aged 65+"</f>
        <v>- At March 2015, the total rate of home care hours provided by Aberdeen City was 522.5 hours per 1,000 population aged 65+</v>
      </c>
      <c r="B623" s="618"/>
      <c r="C623" s="618"/>
      <c r="D623" s="618"/>
      <c r="E623" s="618"/>
      <c r="F623" s="618"/>
      <c r="G623" s="618"/>
      <c r="H623" s="618"/>
      <c r="I623" s="618"/>
      <c r="J623" s="455"/>
      <c r="K623" s="570"/>
    </row>
    <row r="624" spans="1:11" ht="28.5" customHeight="1">
      <c r="A624" s="618" t="str">
        <f>"- The average rate in Scotland in 2015 was " &amp;TEXT(W586,"0.0") &amp; " hours per 1,000 population (represented by the horizontal line)"</f>
        <v>- The average rate in Scotland in 2015 was 729.0 hours per 1,000 population (represented by the horizontal line)</v>
      </c>
      <c r="B624" s="618"/>
      <c r="C624" s="618"/>
      <c r="D624" s="618"/>
      <c r="E624" s="618"/>
      <c r="F624" s="618"/>
      <c r="G624" s="618"/>
      <c r="H624" s="618"/>
      <c r="I624" s="618"/>
      <c r="J624" s="455"/>
      <c r="K624" s="570"/>
    </row>
    <row r="625" spans="1:24" ht="27" customHeight="1">
      <c r="A625" s="618" t="str">
        <f>"- In 2015 rates of total home care hours provided ranged from " &amp; TEXT('Statistics - Older People'!$B$178,"0.0") &amp; " to " &amp; TEXT('Statistics - Older People'!$B$179,"0.0") &amp; " per 1,000 population"</f>
        <v>- In 2015 rates of total home care hours provided ranged from 289.5 to 1122.7 per 1,000 population</v>
      </c>
      <c r="B625" s="618"/>
      <c r="C625" s="618"/>
      <c r="D625" s="618"/>
      <c r="E625" s="618"/>
      <c r="F625" s="618"/>
      <c r="G625" s="618"/>
      <c r="H625" s="618"/>
      <c r="I625" s="618"/>
      <c r="J625" s="455"/>
      <c r="K625" s="570"/>
    </row>
    <row r="626" spans="1:24" ht="27.75" customHeight="1">
      <c r="A626" s="662" t="str">
        <f>"Figure " &amp; $L$626 &amp; " - " &amp; $C$5 &amp; " and Scotland's rate of older people receiving less than 10 hours of home care per week"</f>
        <v>Figure 26 - Aberdeen City and Scotland's rate of older people receiving less than 10 hours of home care per week</v>
      </c>
      <c r="B626" s="628"/>
      <c r="C626" s="628"/>
      <c r="D626" s="628"/>
      <c r="E626" s="628"/>
      <c r="F626" s="628"/>
      <c r="G626" s="628"/>
      <c r="H626" s="628"/>
      <c r="I626" s="353"/>
      <c r="J626" s="461"/>
      <c r="K626" s="581"/>
      <c r="L626" s="320">
        <f>$L$603+1</f>
        <v>26</v>
      </c>
    </row>
    <row r="627" spans="1:24">
      <c r="A627" s="382"/>
      <c r="B627" s="380"/>
      <c r="C627" s="380"/>
      <c r="D627" s="380"/>
      <c r="E627" s="380"/>
      <c r="F627" s="380"/>
      <c r="G627" s="380"/>
      <c r="H627" s="380"/>
      <c r="I627" s="380"/>
      <c r="J627" s="380"/>
      <c r="K627" s="380"/>
    </row>
    <row r="628" spans="1:24">
      <c r="A628" s="382"/>
      <c r="B628" s="380"/>
      <c r="C628" s="380"/>
      <c r="D628" s="380"/>
      <c r="E628" s="380"/>
      <c r="F628" s="380"/>
      <c r="G628" s="380"/>
      <c r="H628" s="380"/>
      <c r="I628" s="380"/>
      <c r="J628" s="380"/>
      <c r="K628" s="380"/>
    </row>
    <row r="629" spans="1:24">
      <c r="A629" s="382"/>
      <c r="B629" s="380"/>
      <c r="C629" s="380"/>
      <c r="D629" s="380"/>
      <c r="E629" s="380"/>
      <c r="F629" s="380"/>
      <c r="G629" s="380"/>
      <c r="H629" s="380"/>
      <c r="I629" s="380"/>
      <c r="J629" s="380"/>
      <c r="K629" s="380"/>
    </row>
    <row r="630" spans="1:24">
      <c r="A630" s="382"/>
      <c r="B630" s="380"/>
      <c r="C630" s="380"/>
      <c r="D630" s="380"/>
      <c r="E630" s="380"/>
      <c r="F630" s="380"/>
      <c r="G630" s="380"/>
      <c r="H630" s="380"/>
      <c r="I630" s="380"/>
      <c r="J630" s="380"/>
      <c r="K630" s="380"/>
    </row>
    <row r="631" spans="1:24">
      <c r="A631" s="382"/>
      <c r="B631" s="380"/>
      <c r="C631" s="380"/>
      <c r="D631" s="380"/>
      <c r="E631" s="380"/>
      <c r="F631" s="380"/>
      <c r="G631" s="380"/>
      <c r="H631" s="380"/>
      <c r="I631" s="380"/>
      <c r="J631" s="380"/>
      <c r="K631" s="380"/>
      <c r="O631" t="str">
        <f>'Statistics - Older People'!X188</f>
        <v>2005/06</v>
      </c>
      <c r="P631" t="str">
        <f>'Statistics - Older People'!Y188</f>
        <v>2006/07</v>
      </c>
      <c r="Q631" t="str">
        <f>'Statistics - Older People'!Z188</f>
        <v>2007/08</v>
      </c>
      <c r="R631" t="str">
        <f>'Statistics - Older People'!AA188</f>
        <v>2008/09</v>
      </c>
      <c r="S631" t="str">
        <f>'Statistics - Older People'!AB188</f>
        <v>2009/10</v>
      </c>
      <c r="T631" t="str">
        <f>'Statistics - Older People'!AC188</f>
        <v>2010/11</v>
      </c>
      <c r="U631" t="str">
        <f>'Statistics - Older People'!AD188</f>
        <v>2011/12</v>
      </c>
      <c r="V631" t="str">
        <f>'Statistics - Older People'!AE188</f>
        <v>2012/13</v>
      </c>
      <c r="W631" t="str">
        <f>'Statistics - Older People'!AF188</f>
        <v>2013/14</v>
      </c>
      <c r="X631" t="str">
        <f>'Statistics - Older People'!AG188</f>
        <v>2014/15</v>
      </c>
    </row>
    <row r="632" spans="1:24">
      <c r="A632" s="382"/>
      <c r="B632" s="380"/>
      <c r="C632" s="380"/>
      <c r="D632" s="380"/>
      <c r="E632" s="380"/>
      <c r="F632" s="380"/>
      <c r="G632" s="380"/>
      <c r="H632" s="380"/>
      <c r="I632" s="380"/>
      <c r="J632" s="380"/>
      <c r="K632" s="380"/>
      <c r="N632" t="str">
        <f>$C$5</f>
        <v>Aberdeen City</v>
      </c>
      <c r="O632" s="90">
        <f>VLOOKUP($C$5,'Statistics - Older People'!$A$188:$AG$221,24,0)</f>
        <v>58.861658127044876</v>
      </c>
      <c r="P632" s="90">
        <f>VLOOKUP($C$5,'Statistics - Older People'!$A$188:$AF$221,25,0)</f>
        <v>58.821707347292779</v>
      </c>
      <c r="Q632" s="90">
        <f>VLOOKUP($C$5,'Statistics - Older People'!$A$188:$AF$221,26,0)</f>
        <v>45.677099473194922</v>
      </c>
      <c r="R632" s="90">
        <f>VLOOKUP($C$5,'Statistics - Older People'!$A$188:$AF$221,27,0)</f>
        <v>35.471346482373036</v>
      </c>
      <c r="S632" s="90">
        <f>VLOOKUP($C$5,'Statistics - Older People'!$A$188:$AF$221,28,0)</f>
        <v>37.399434659708632</v>
      </c>
      <c r="T632" s="90">
        <f>VLOOKUP($C$5,'Statistics - Older People'!$A$188:$AF$221,29,0)</f>
        <v>37.439651144681513</v>
      </c>
      <c r="U632" s="90">
        <f>VLOOKUP($C$5,'Statistics - Older People'!$A$188:$AF$221,30,0)</f>
        <v>37.520543272659623</v>
      </c>
      <c r="V632" s="90">
        <f>VLOOKUP($C$5,'Statistics - Older People'!$A$189:$AF$220,31,0)</f>
        <v>34.975577398540672</v>
      </c>
      <c r="W632" s="90">
        <f>VLOOKUP($C$5,'Statistics - Older People'!$A$189:$AF$220,32,0)</f>
        <v>33.518227390027583</v>
      </c>
      <c r="X632" s="90">
        <f>VLOOKUP($C$5,'Statistics - Older People'!$A$189:$AG$220,33,0)</f>
        <v>30.938968506465077</v>
      </c>
    </row>
    <row r="633" spans="1:24">
      <c r="A633" s="382"/>
      <c r="B633" s="380"/>
      <c r="C633" s="380"/>
      <c r="D633" s="380"/>
      <c r="E633" s="380"/>
      <c r="F633" s="380"/>
      <c r="G633" s="380"/>
      <c r="H633" s="380"/>
      <c r="I633" s="380"/>
      <c r="J633" s="380"/>
      <c r="K633" s="380"/>
      <c r="N633" t="s">
        <v>5</v>
      </c>
      <c r="O633" s="90">
        <f>'Statistics - Older People'!X$221</f>
        <v>51.744461009201849</v>
      </c>
      <c r="P633" s="90">
        <f>'Statistics - Older People'!Y$221</f>
        <v>50.20716781547744</v>
      </c>
      <c r="Q633" s="90">
        <f>'Statistics - Older People'!Z$221</f>
        <v>47.3100579106518</v>
      </c>
      <c r="R633" s="90">
        <f>'Statistics - Older People'!AA$221</f>
        <v>46.109769153445889</v>
      </c>
      <c r="S633" s="90">
        <f>'Statistics - Older People'!AB$221</f>
        <v>43.665487638627901</v>
      </c>
      <c r="T633" s="90">
        <f>'Statistics - Older People'!AC$221</f>
        <v>41.131698753371261</v>
      </c>
      <c r="U633" s="90">
        <f>'Statistics - Older People'!AD$221</f>
        <v>39.208401943853168</v>
      </c>
      <c r="V633" s="90">
        <f>'Statistics - Older People'!AE$221</f>
        <v>36.56490784238958</v>
      </c>
      <c r="W633" s="90">
        <f>'Statistics - Older People'!AF$221</f>
        <v>35.047899139705223</v>
      </c>
      <c r="X633" s="90">
        <f>'Statistics - Older People'!AG$221</f>
        <v>33.942971264646751</v>
      </c>
    </row>
    <row r="634" spans="1:24">
      <c r="A634" s="382"/>
      <c r="B634" s="380"/>
      <c r="C634" s="380"/>
      <c r="D634" s="380"/>
      <c r="E634" s="380"/>
      <c r="F634" s="380"/>
      <c r="G634" s="380"/>
      <c r="H634" s="380"/>
      <c r="I634" s="380"/>
      <c r="J634" s="380"/>
      <c r="K634" s="380"/>
      <c r="N634" t="s">
        <v>160</v>
      </c>
      <c r="O634" s="90">
        <f>MIN('Statistics - Older People'!X$189:X$220)</f>
        <v>31.56990211462303</v>
      </c>
      <c r="P634" s="90">
        <f>MIN('Statistics - Older People'!Y$189:Y$220)</f>
        <v>24.454580425344837</v>
      </c>
      <c r="Q634" s="90">
        <f>MIN('Statistics - Older People'!Z$189:Z$220)</f>
        <v>22.859922178988324</v>
      </c>
      <c r="R634" s="90">
        <f>MIN('Statistics - Older People'!AA$189:AA$220)</f>
        <v>19.725968971583942</v>
      </c>
      <c r="S634" s="90">
        <f>MIN('Statistics - Older People'!AB$189:AB$220)</f>
        <v>20.783037682376403</v>
      </c>
      <c r="T634" s="90">
        <f>MIN('Statistics - Older People'!AC$189:AC$220)</f>
        <v>20.824720959074</v>
      </c>
      <c r="U634" s="90">
        <f>MIN('Statistics - Older People'!AD$189:AD$220)</f>
        <v>21.501513829732644</v>
      </c>
      <c r="V634" s="90">
        <f>MIN('Statistics - Older People'!AE$189:AE$220)</f>
        <v>21.334656412800793</v>
      </c>
      <c r="W634" s="90">
        <f>MIN('Statistics - Older People'!AF$189:AF$220)</f>
        <v>27.119611761347418</v>
      </c>
      <c r="X634" s="90">
        <f>MIN('Statistics - Older People'!AG$189:AG$220)</f>
        <v>19.006364922206508</v>
      </c>
    </row>
    <row r="635" spans="1:24">
      <c r="A635" s="382"/>
      <c r="B635" s="380"/>
      <c r="C635" s="380"/>
      <c r="D635" s="380"/>
      <c r="E635" s="380"/>
      <c r="F635" s="380"/>
      <c r="G635" s="380"/>
      <c r="H635" s="380"/>
      <c r="I635" s="380"/>
      <c r="J635" s="380"/>
      <c r="K635" s="380"/>
      <c r="N635" t="s">
        <v>161</v>
      </c>
      <c r="O635" s="90">
        <f>MAX('Statistics - Older People'!X$189:X$220)</f>
        <v>118.15995189416716</v>
      </c>
      <c r="P635" s="90">
        <f>MAX('Statistics - Older People'!Y$189:Y$220)</f>
        <v>101.14672155248456</v>
      </c>
      <c r="Q635" s="90">
        <f>MAX('Statistics - Older People'!Z$189:Z$220)</f>
        <v>85.714285714285708</v>
      </c>
      <c r="R635" s="90">
        <f>MAX('Statistics - Older People'!AA$189:AA$220)</f>
        <v>86.740331491712709</v>
      </c>
      <c r="S635" s="90">
        <f>MAX('Statistics - Older People'!AB$189:AB$220)</f>
        <v>78.763440860215056</v>
      </c>
      <c r="T635" s="90">
        <f>MAX('Statistics - Older People'!AC$189:AC$220)</f>
        <v>83.289404322614658</v>
      </c>
      <c r="U635" s="90">
        <f>MAX('Statistics - Older People'!AD$189:AD$220)</f>
        <v>83.508956796628027</v>
      </c>
      <c r="V635" s="90">
        <f>MAX('Statistics - Older People'!AE$189:AE$220)</f>
        <v>82.872928176795583</v>
      </c>
      <c r="W635" s="90">
        <f>MAX('Statistics - Older People'!AF$189:AF$220)</f>
        <v>65.805508164757498</v>
      </c>
      <c r="X635" s="90">
        <f>MAX('Statistics - Older People'!AG$189:AG$220)</f>
        <v>55.007217259002068</v>
      </c>
    </row>
    <row r="636" spans="1:24">
      <c r="A636" s="382"/>
      <c r="B636" s="380"/>
      <c r="C636" s="380"/>
      <c r="D636" s="380"/>
      <c r="E636" s="380"/>
      <c r="F636" s="380"/>
      <c r="G636" s="380"/>
      <c r="H636" s="380"/>
      <c r="I636" s="380"/>
      <c r="J636" s="380"/>
      <c r="K636" s="380"/>
    </row>
    <row r="637" spans="1:24">
      <c r="A637" s="382"/>
      <c r="B637" s="380"/>
      <c r="C637" s="380"/>
      <c r="D637" s="380"/>
      <c r="E637" s="380"/>
      <c r="F637" s="380"/>
      <c r="G637" s="380"/>
      <c r="H637" s="380"/>
      <c r="I637" s="380"/>
      <c r="J637" s="380"/>
      <c r="K637" s="380"/>
    </row>
    <row r="638" spans="1:24">
      <c r="A638" s="382"/>
      <c r="B638" s="380"/>
      <c r="C638" s="380"/>
      <c r="D638" s="380"/>
      <c r="E638" s="380"/>
      <c r="F638" s="380"/>
      <c r="G638" s="380"/>
      <c r="H638" s="380"/>
      <c r="I638" s="380"/>
      <c r="J638" s="380"/>
      <c r="K638" s="380"/>
    </row>
    <row r="639" spans="1:24">
      <c r="A639" s="382"/>
      <c r="B639" s="380"/>
      <c r="C639" s="380"/>
      <c r="D639" s="380"/>
      <c r="E639" s="380"/>
      <c r="F639" s="380"/>
      <c r="G639" s="380"/>
      <c r="H639" s="380"/>
      <c r="I639" s="380"/>
      <c r="J639" s="380"/>
      <c r="K639" s="380"/>
    </row>
    <row r="640" spans="1:24">
      <c r="A640" s="382"/>
      <c r="B640" s="380"/>
      <c r="C640" s="380"/>
      <c r="D640" s="380"/>
      <c r="E640" s="380"/>
      <c r="F640" s="380"/>
      <c r="G640" s="380"/>
      <c r="H640" s="380"/>
      <c r="I640" s="380"/>
      <c r="J640" s="380"/>
      <c r="K640" s="380"/>
    </row>
    <row r="641" spans="1:12">
      <c r="A641" s="382"/>
      <c r="B641" s="380"/>
      <c r="C641" s="380"/>
      <c r="D641" s="380"/>
      <c r="E641" s="380"/>
      <c r="F641" s="380"/>
      <c r="G641" s="380"/>
      <c r="H641" s="380"/>
      <c r="I641" s="380"/>
      <c r="J641" s="380"/>
      <c r="K641" s="380"/>
    </row>
    <row r="642" spans="1:12">
      <c r="A642" s="382"/>
      <c r="B642" s="380"/>
      <c r="C642" s="380"/>
      <c r="D642" s="380"/>
      <c r="E642" s="380"/>
      <c r="F642" s="380"/>
      <c r="G642" s="380"/>
      <c r="H642" s="380"/>
      <c r="I642" s="380"/>
      <c r="J642" s="380"/>
      <c r="K642" s="380"/>
    </row>
    <row r="643" spans="1:12">
      <c r="A643" s="382"/>
      <c r="B643" s="380"/>
      <c r="C643" s="380"/>
      <c r="D643" s="380"/>
      <c r="E643" s="380"/>
      <c r="F643" s="380"/>
      <c r="G643" s="380"/>
      <c r="H643" s="380"/>
      <c r="I643" s="380"/>
      <c r="J643" s="380"/>
      <c r="K643" s="380"/>
    </row>
    <row r="644" spans="1:12">
      <c r="A644" s="382"/>
      <c r="B644" s="380"/>
      <c r="C644" s="380"/>
      <c r="D644" s="380"/>
      <c r="E644" s="380"/>
      <c r="F644" s="380"/>
      <c r="G644" s="380"/>
      <c r="H644" s="380"/>
      <c r="I644" s="380"/>
      <c r="J644" s="380"/>
      <c r="K644" s="380"/>
    </row>
    <row r="645" spans="1:12" ht="29.25" customHeight="1">
      <c r="A645" s="618" t="str">
        <f>"- Between 2005/06 and 2014/15, the rate of older people receiving less than 10 hours per week per 1,000 population aged 65+:"</f>
        <v>- Between 2005/06 and 2014/15, the rate of older people receiving less than 10 hours per week per 1,000 population aged 65+:</v>
      </c>
      <c r="B645" s="618"/>
      <c r="C645" s="618"/>
      <c r="D645" s="618"/>
      <c r="E645" s="618"/>
      <c r="F645" s="618"/>
      <c r="G645" s="618"/>
      <c r="H645" s="618"/>
      <c r="I645" s="618"/>
      <c r="J645" s="455"/>
      <c r="K645" s="570"/>
    </row>
    <row r="646" spans="1:12" ht="24" customHeight="1">
      <c r="A646" s="618" t="str">
        <f>"      - In " &amp; $C$5 &amp; " has moved from " &amp; TEXT($O$632,"0.0") &amp; " in 2005/06 to " &amp; TEXT($X$632,"0.0") &amp; " per 1,000 population in 2014/15"</f>
        <v xml:space="preserve">      - In Aberdeen City has moved from 58.9 in 2005/06 to 30.9 per 1,000 population in 2014/15</v>
      </c>
      <c r="B646" s="618"/>
      <c r="C646" s="618"/>
      <c r="D646" s="618"/>
      <c r="E646" s="618"/>
      <c r="F646" s="618"/>
      <c r="G646" s="618"/>
      <c r="H646" s="618"/>
      <c r="I646" s="618"/>
      <c r="J646" s="455"/>
      <c r="K646" s="570"/>
    </row>
    <row r="647" spans="1:12" ht="25.5" customHeight="1">
      <c r="A647" s="618" t="str">
        <f>"      - The average rate in Scotland has moved from "&amp;TEXT($O$633,"0.0")&amp;" in 2005/06 to " &amp; TEXT($X$633,"0.0") &amp; " per 1,000 population in 2014/15"</f>
        <v xml:space="preserve">      - The average rate in Scotland has moved from 51.7 in 2005/06 to 33.9 per 1,000 population in 2014/15</v>
      </c>
      <c r="B647" s="618"/>
      <c r="C647" s="618"/>
      <c r="D647" s="618"/>
      <c r="E647" s="618"/>
      <c r="F647" s="618"/>
      <c r="G647" s="618"/>
      <c r="H647" s="618"/>
      <c r="I647" s="618"/>
      <c r="J647" s="455"/>
      <c r="K647" s="570"/>
    </row>
    <row r="648" spans="1:12">
      <c r="A648" s="382"/>
      <c r="B648" s="380"/>
      <c r="C648" s="380"/>
      <c r="D648" s="380"/>
      <c r="E648" s="380"/>
      <c r="F648" s="380"/>
      <c r="G648" s="380"/>
      <c r="H648" s="380"/>
      <c r="I648" s="380"/>
      <c r="J648" s="380"/>
      <c r="K648" s="380"/>
    </row>
    <row r="649" spans="1:12" ht="28.5" customHeight="1">
      <c r="A649" s="662" t="str">
        <f>"Figure " &amp; $L$649 &amp; " - Rates of older people receiving less than 10 hours of home care per week across Scotland"</f>
        <v>Figure 27 - Rates of older people receiving less than 10 hours of home care per week across Scotland</v>
      </c>
      <c r="B649" s="628"/>
      <c r="C649" s="628"/>
      <c r="D649" s="628"/>
      <c r="E649" s="628"/>
      <c r="F649" s="628"/>
      <c r="G649" s="628"/>
      <c r="H649" s="628"/>
      <c r="I649" s="353"/>
      <c r="J649" s="461"/>
      <c r="K649" s="581"/>
      <c r="L649" s="320">
        <f>$L$626+1</f>
        <v>27</v>
      </c>
    </row>
    <row r="650" spans="1:12">
      <c r="A650" s="382"/>
      <c r="B650" s="380"/>
      <c r="C650" s="380"/>
      <c r="D650" s="380"/>
      <c r="E650" s="380"/>
      <c r="F650" s="380"/>
      <c r="G650" s="380"/>
      <c r="H650" s="380"/>
      <c r="I650" s="380"/>
      <c r="J650" s="380"/>
      <c r="K650" s="380"/>
    </row>
    <row r="651" spans="1:12">
      <c r="A651" s="382"/>
      <c r="B651" s="380"/>
      <c r="C651" s="380"/>
      <c r="D651" s="380"/>
      <c r="E651" s="380"/>
      <c r="F651" s="380"/>
      <c r="G651" s="380"/>
      <c r="H651" s="380"/>
      <c r="I651" s="380"/>
      <c r="J651" s="380"/>
      <c r="K651" s="380"/>
    </row>
    <row r="652" spans="1:12">
      <c r="A652" s="382"/>
      <c r="B652" s="380"/>
      <c r="C652" s="380"/>
      <c r="D652" s="380"/>
      <c r="E652" s="380"/>
      <c r="F652" s="380"/>
      <c r="G652" s="380"/>
      <c r="H652" s="380"/>
      <c r="I652" s="380"/>
      <c r="J652" s="380"/>
      <c r="K652" s="380"/>
    </row>
    <row r="653" spans="1:12">
      <c r="A653" s="382"/>
      <c r="B653" s="380"/>
      <c r="C653" s="380"/>
      <c r="D653" s="380"/>
      <c r="E653" s="380"/>
      <c r="F653" s="380"/>
      <c r="G653" s="380"/>
      <c r="H653" s="380"/>
      <c r="I653" s="380"/>
      <c r="J653" s="380"/>
      <c r="K653" s="380"/>
    </row>
    <row r="654" spans="1:12">
      <c r="A654" s="382"/>
      <c r="B654" s="380"/>
      <c r="C654" s="380"/>
      <c r="D654" s="380"/>
      <c r="E654" s="380"/>
      <c r="F654" s="380"/>
      <c r="G654" s="380"/>
      <c r="H654" s="380"/>
      <c r="I654" s="380"/>
      <c r="J654" s="380"/>
      <c r="K654" s="380"/>
    </row>
    <row r="655" spans="1:12">
      <c r="A655" s="382"/>
      <c r="B655" s="380"/>
      <c r="C655" s="380"/>
      <c r="D655" s="380"/>
      <c r="E655" s="380"/>
      <c r="F655" s="380"/>
      <c r="G655" s="380"/>
      <c r="H655" s="380"/>
      <c r="I655" s="380"/>
      <c r="J655" s="380"/>
      <c r="K655" s="380"/>
    </row>
    <row r="656" spans="1:12">
      <c r="A656" s="382"/>
      <c r="B656" s="380"/>
      <c r="C656" s="380"/>
      <c r="D656" s="380"/>
      <c r="E656" s="380"/>
      <c r="F656" s="380"/>
      <c r="G656" s="380"/>
      <c r="H656" s="380"/>
      <c r="I656" s="380"/>
      <c r="J656" s="380"/>
      <c r="K656" s="380"/>
    </row>
    <row r="657" spans="1:19">
      <c r="A657" s="382"/>
      <c r="B657" s="380"/>
      <c r="C657" s="380"/>
      <c r="D657" s="380"/>
      <c r="E657" s="380"/>
      <c r="F657" s="380"/>
      <c r="G657" s="380"/>
      <c r="H657" s="380"/>
      <c r="I657" s="380"/>
      <c r="J657" s="380"/>
      <c r="K657" s="380"/>
    </row>
    <row r="658" spans="1:19">
      <c r="A658" s="382"/>
      <c r="B658" s="380"/>
      <c r="C658" s="380"/>
      <c r="D658" s="380"/>
      <c r="E658" s="380"/>
      <c r="F658" s="380"/>
      <c r="G658" s="380"/>
      <c r="H658" s="380"/>
      <c r="I658" s="380"/>
      <c r="J658" s="380"/>
      <c r="K658" s="380"/>
    </row>
    <row r="659" spans="1:19">
      <c r="A659" s="382"/>
      <c r="B659" s="380"/>
      <c r="C659" s="380"/>
      <c r="D659" s="380"/>
      <c r="E659" s="380"/>
      <c r="F659" s="380"/>
      <c r="G659" s="380"/>
      <c r="H659" s="380"/>
      <c r="I659" s="380"/>
      <c r="J659" s="380"/>
      <c r="K659" s="380"/>
    </row>
    <row r="660" spans="1:19">
      <c r="A660" s="382"/>
      <c r="B660" s="380"/>
      <c r="C660" s="380"/>
      <c r="D660" s="380"/>
      <c r="E660" s="380"/>
      <c r="F660" s="380"/>
      <c r="G660" s="380"/>
      <c r="H660" s="380"/>
      <c r="I660" s="380"/>
      <c r="J660" s="380"/>
      <c r="K660" s="380"/>
    </row>
    <row r="661" spans="1:19">
      <c r="A661" s="382"/>
      <c r="B661" s="380"/>
      <c r="C661" s="380"/>
      <c r="D661" s="380"/>
      <c r="E661" s="380"/>
      <c r="F661" s="380"/>
      <c r="G661" s="380"/>
      <c r="H661" s="380"/>
      <c r="I661" s="380"/>
      <c r="J661" s="380"/>
      <c r="K661" s="380"/>
    </row>
    <row r="662" spans="1:19">
      <c r="A662" s="382"/>
      <c r="B662" s="380"/>
      <c r="C662" s="380"/>
      <c r="D662" s="380"/>
      <c r="E662" s="380"/>
      <c r="F662" s="380"/>
      <c r="G662" s="380"/>
      <c r="H662" s="380"/>
      <c r="I662" s="380"/>
      <c r="J662" s="380"/>
      <c r="K662" s="380"/>
    </row>
    <row r="663" spans="1:19">
      <c r="A663" s="382"/>
      <c r="B663" s="380"/>
      <c r="C663" s="380"/>
      <c r="D663" s="380"/>
      <c r="E663" s="380"/>
      <c r="F663" s="380"/>
      <c r="G663" s="380"/>
      <c r="H663" s="380"/>
      <c r="I663" s="380"/>
      <c r="J663" s="380"/>
      <c r="K663" s="380"/>
    </row>
    <row r="664" spans="1:19">
      <c r="A664" s="382"/>
      <c r="B664" s="380"/>
      <c r="C664" s="380"/>
      <c r="D664" s="380"/>
      <c r="E664" s="380"/>
      <c r="F664" s="380"/>
      <c r="G664" s="380"/>
      <c r="H664" s="380"/>
      <c r="I664" s="380"/>
      <c r="J664" s="380"/>
      <c r="K664" s="380"/>
    </row>
    <row r="665" spans="1:19">
      <c r="A665" s="382"/>
      <c r="B665" s="380"/>
      <c r="C665" s="380"/>
      <c r="D665" s="380"/>
      <c r="E665" s="380"/>
      <c r="F665" s="380"/>
      <c r="G665" s="380"/>
      <c r="H665" s="380"/>
      <c r="I665" s="380"/>
      <c r="J665" s="380"/>
      <c r="K665" s="380"/>
      <c r="N665" s="499"/>
      <c r="O665" s="13"/>
      <c r="P665" s="13"/>
      <c r="Q665" s="13"/>
      <c r="R665" s="13"/>
      <c r="S665" s="13"/>
    </row>
    <row r="666" spans="1:19">
      <c r="A666" s="382"/>
      <c r="B666" s="380"/>
      <c r="C666" s="380"/>
      <c r="D666" s="380"/>
      <c r="E666" s="380"/>
      <c r="F666" s="380"/>
      <c r="G666" s="380"/>
      <c r="H666" s="380"/>
      <c r="I666" s="380"/>
      <c r="J666" s="380"/>
      <c r="K666" s="380"/>
      <c r="N666" s="13"/>
      <c r="O666" s="13"/>
      <c r="P666" s="13"/>
      <c r="Q666" s="13"/>
      <c r="R666" s="13"/>
      <c r="S666" s="13"/>
    </row>
    <row r="667" spans="1:19">
      <c r="A667" s="382"/>
      <c r="B667" s="380"/>
      <c r="C667" s="380"/>
      <c r="D667" s="380"/>
      <c r="E667" s="380"/>
      <c r="F667" s="380"/>
      <c r="G667" s="380"/>
      <c r="H667" s="380"/>
      <c r="I667" s="380"/>
      <c r="J667" s="380"/>
      <c r="K667" s="380"/>
    </row>
    <row r="668" spans="1:19">
      <c r="A668" s="382"/>
      <c r="B668" s="380"/>
      <c r="C668" s="380"/>
      <c r="D668" s="380"/>
      <c r="E668" s="380"/>
      <c r="F668" s="380"/>
      <c r="G668" s="380"/>
      <c r="H668" s="380"/>
      <c r="I668" s="380"/>
      <c r="J668" s="380"/>
      <c r="K668" s="380"/>
    </row>
    <row r="669" spans="1:19" ht="26.25" customHeight="1">
      <c r="A669" s="615" t="str">
        <f>"- Over 2014/15, in " &amp; $C$5 &amp; ", there was a rate of " &amp; TEXT('Statistics - Older People'!$B$262,"0.0") &amp; " people per 1,000 population aged 65+ receiving less than 10 hours per week"</f>
        <v>- Over 2014/15, in Aberdeen City, there was a rate of 30.9 people per 1,000 population aged 65+ receiving less than 10 hours per week</v>
      </c>
      <c r="B669" s="615"/>
      <c r="C669" s="615"/>
      <c r="D669" s="615"/>
      <c r="E669" s="615"/>
      <c r="F669" s="615"/>
      <c r="G669" s="615"/>
      <c r="H669" s="615"/>
      <c r="I669" s="615"/>
      <c r="J669" s="453"/>
      <c r="K669" s="569"/>
    </row>
    <row r="670" spans="1:19" ht="12.75" customHeight="1">
      <c r="A670" s="615" t="str">
        <f>"- The national rate was " &amp; TEXT($X$633,"0.0") &amp; " per 1,000 population aged 65+ (represented by the horizontal line)"</f>
        <v>- The national rate was 33.9 per 1,000 population aged 65+ (represented by the horizontal line)</v>
      </c>
      <c r="B670" s="615"/>
      <c r="C670" s="615"/>
      <c r="D670" s="615"/>
      <c r="E670" s="615"/>
      <c r="F670" s="615"/>
      <c r="G670" s="615"/>
      <c r="H670" s="615"/>
      <c r="I670" s="615"/>
      <c r="J670" s="453"/>
      <c r="K670" s="569"/>
    </row>
    <row r="671" spans="1:19" ht="12.75" customHeight="1">
      <c r="A671" s="615" t="str">
        <f>"- Rates in 2014/15 ranged from " &amp; TEXT('Statistics - Older People'!$B$263,"0.0") &amp; " to " &amp; TEXT('Statistics - Older People'!$B$264,"0.0") &amp; " per 1,000 population aged 65+"</f>
        <v>- Rates in 2014/15 ranged from 19.0 to 55.0 per 1,000 population aged 65+</v>
      </c>
      <c r="B671" s="615"/>
      <c r="C671" s="615"/>
      <c r="D671" s="615"/>
      <c r="E671" s="615"/>
      <c r="F671" s="615"/>
      <c r="G671" s="615"/>
      <c r="H671" s="615"/>
      <c r="I671" s="615"/>
      <c r="J671" s="453"/>
      <c r="K671" s="569"/>
    </row>
    <row r="672" spans="1:19" ht="29.25" customHeight="1">
      <c r="A672" s="621" t="str">
        <f>"Figure " &amp; $L$672&amp; " - " &amp; $C$5 &amp; " and Scotland's rate of older people receiving intensive home care (10+ hours per week)"</f>
        <v>Figure 28 - Aberdeen City and Scotland's rate of older people receiving intensive home care (10+ hours per week)</v>
      </c>
      <c r="B672" s="620"/>
      <c r="C672" s="620"/>
      <c r="D672" s="620"/>
      <c r="E672" s="620"/>
      <c r="F672" s="620"/>
      <c r="G672" s="620"/>
      <c r="H672" s="620"/>
      <c r="I672" s="348"/>
      <c r="J672" s="454"/>
      <c r="K672" s="568"/>
      <c r="L672" s="320">
        <f>$L$649+1</f>
        <v>28</v>
      </c>
    </row>
    <row r="673" spans="1:24">
      <c r="A673" s="346"/>
    </row>
    <row r="674" spans="1:24">
      <c r="A674" s="346"/>
    </row>
    <row r="675" spans="1:24">
      <c r="A675" s="346"/>
      <c r="O675" s="426" t="s">
        <v>4</v>
      </c>
      <c r="P675" s="426" t="s">
        <v>0</v>
      </c>
      <c r="Q675" s="426" t="s">
        <v>1</v>
      </c>
      <c r="R675" s="426" t="s">
        <v>28</v>
      </c>
      <c r="S675" s="426" t="s">
        <v>65</v>
      </c>
      <c r="T675" s="426" t="s">
        <v>267</v>
      </c>
      <c r="U675" s="426" t="s">
        <v>315</v>
      </c>
      <c r="V675" s="421" t="s">
        <v>322</v>
      </c>
      <c r="W675" s="421" t="s">
        <v>369</v>
      </c>
      <c r="X675" s="421" t="s">
        <v>382</v>
      </c>
    </row>
    <row r="676" spans="1:24">
      <c r="A676" s="346"/>
      <c r="N676" t="str">
        <f>$C$5</f>
        <v>Aberdeen City</v>
      </c>
      <c r="O676" s="90">
        <f>VLOOKUP($C$5,'Statistics - Older People'!$A$271:$U$303,12,0)</f>
        <v>18.058480981291044</v>
      </c>
      <c r="P676" s="90">
        <f>VLOOKUP($C$5,'Statistics - Older People'!$A$271:$U$303,13,0)</f>
        <v>19.894638983576076</v>
      </c>
      <c r="Q676" s="90">
        <f>VLOOKUP($C$5,'Statistics - Older People'!$A$271:$U$303,14,0)</f>
        <v>15.56142258114614</v>
      </c>
      <c r="R676" s="90">
        <f>VLOOKUP($C$5,'Statistics - Older People'!$A$271:$U$303,15,0)</f>
        <v>14.53732177802628</v>
      </c>
      <c r="S676" s="90">
        <f>VLOOKUP($C$5,'Statistics - Older People'!$A$271:$U$303,16,0)</f>
        <v>16.196854072574368</v>
      </c>
      <c r="T676" s="90">
        <f>VLOOKUP($C$5,'Statistics - Older People'!$A$271:$U$303,17,0)</f>
        <v>16.651679121833233</v>
      </c>
      <c r="U676" s="90">
        <f>VLOOKUP($C$5,'Statistics - Older People'!$A$271:$U$303,18,0)</f>
        <v>17.306880540312367</v>
      </c>
      <c r="V676" s="90">
        <f>VLOOKUP($C$5,'Statistics - Older People'!$A$271:$U$303,19,0)</f>
        <v>13.73357458547148</v>
      </c>
      <c r="W676" s="90">
        <f>VLOOKUP($C$5,'Statistics - Older People'!$A$271:$U$303,20,0)</f>
        <v>13.3</v>
      </c>
      <c r="X676" s="90">
        <f>VLOOKUP($C$5,'Statistics - Older People'!$A$271:$U$303,21,0)</f>
        <v>13.163655468316744</v>
      </c>
    </row>
    <row r="677" spans="1:24">
      <c r="A677" s="346"/>
      <c r="N677" t="s">
        <v>5</v>
      </c>
      <c r="O677" s="90">
        <f>'Statistics - Older People'!L303</f>
        <v>16.804937658717279</v>
      </c>
      <c r="P677" s="90">
        <f>'Statistics - Older People'!M303</f>
        <v>17.299875947980933</v>
      </c>
      <c r="Q677" s="90">
        <f>'Statistics - Older People'!N303</f>
        <v>17.899860252199829</v>
      </c>
      <c r="R677" s="90">
        <f>'Statistics - Older People'!O303</f>
        <v>17.527679525441215</v>
      </c>
      <c r="S677" s="90">
        <f>'Statistics - Older People'!P303</f>
        <v>17.893283850222627</v>
      </c>
      <c r="T677" s="90">
        <f>'Statistics - Older People'!Q303</f>
        <v>17.354556854135151</v>
      </c>
      <c r="U677" s="90">
        <f>'Statistics - Older People'!R303</f>
        <v>17.254099644504841</v>
      </c>
      <c r="V677" s="90">
        <f>'Statistics - Older People'!S303</f>
        <v>17.231655721741923</v>
      </c>
      <c r="W677" s="90">
        <f>'Statistics - Older People'!T303</f>
        <v>17.399999999999999</v>
      </c>
      <c r="X677" s="90">
        <f>'Statistics - Older People'!U303</f>
        <v>17.355628781409123</v>
      </c>
    </row>
    <row r="678" spans="1:24">
      <c r="A678" s="346"/>
      <c r="N678" t="s">
        <v>160</v>
      </c>
      <c r="O678" s="90">
        <f>MIN('Statistics - Older People'!L$271:L$302)</f>
        <v>4.2897768352050898</v>
      </c>
      <c r="P678" s="90">
        <f>MIN('Statistics - Older People'!M$271:M$302)</f>
        <v>5.1727410782080483</v>
      </c>
      <c r="Q678" s="90">
        <f>MIN('Statistics - Older People'!N$271:N$302)</f>
        <v>4.1318477251624888</v>
      </c>
      <c r="R678" s="90">
        <f>MIN('Statistics - Older People'!O$271:O$302)</f>
        <v>4.6013667425968112</v>
      </c>
      <c r="S678" s="90">
        <f>MIN('Statistics - Older People'!P$271:P$302)</f>
        <v>4.7994976226787474</v>
      </c>
      <c r="T678" s="90">
        <f>MIN('Statistics - Older People'!Q$271:Q$302)</f>
        <v>4.6916024620152372</v>
      </c>
      <c r="U678" s="90">
        <f>MIN('Statistics - Older People'!R$271:R$302)</f>
        <v>4.7041346868036635</v>
      </c>
      <c r="V678" s="90">
        <f>MIN('Statistics - Older People'!S$271:S$302)</f>
        <v>4.2467948717948714</v>
      </c>
      <c r="W678" s="90">
        <f>MIN('Statistics - Older People'!T$271:T$302)</f>
        <v>8.4</v>
      </c>
      <c r="X678" s="90">
        <f>MIN('Statistics - Older People'!U$271:U$302)</f>
        <v>8.1195558870298186</v>
      </c>
    </row>
    <row r="679" spans="1:24">
      <c r="A679" s="346"/>
      <c r="N679" t="s">
        <v>161</v>
      </c>
      <c r="O679" s="90">
        <f>MAX('Statistics - Older People'!L$271:L$302)</f>
        <v>31.561874770625906</v>
      </c>
      <c r="P679" s="90">
        <f>MAX('Statistics - Older People'!M$271:M$302)</f>
        <v>32.767194369039323</v>
      </c>
      <c r="Q679" s="90">
        <f>MAX('Statistics - Older People'!N$271:N$302)</f>
        <v>33.264184590748627</v>
      </c>
      <c r="R679" s="90">
        <f>MAX('Statistics - Older People'!O$271:O$302)</f>
        <v>32.743058962032762</v>
      </c>
      <c r="S679" s="90">
        <f>MAX('Statistics - Older People'!P$271:P$302)</f>
        <v>34.329668698910503</v>
      </c>
      <c r="T679" s="90">
        <f>MAX('Statistics - Older People'!Q$271:Q$302)</f>
        <v>35.03688092729189</v>
      </c>
      <c r="U679" s="90">
        <f>MAX('Statistics - Older People'!R$271:R$302)</f>
        <v>31.268834832083702</v>
      </c>
      <c r="V679" s="90">
        <f>MAX('Statistics - Older People'!S$271:S$302)</f>
        <v>30.71334214002642</v>
      </c>
      <c r="W679" s="90">
        <f>MAX('Statistics - Older People'!T$271:T$302)</f>
        <v>26.9</v>
      </c>
      <c r="X679" s="90">
        <f>MAX('Statistics - Older People'!U$271:U$302)</f>
        <v>31.340907186381433</v>
      </c>
    </row>
    <row r="680" spans="1:24">
      <c r="A680" s="346"/>
      <c r="O680" s="90"/>
    </row>
    <row r="681" spans="1:24">
      <c r="A681" s="346"/>
    </row>
    <row r="682" spans="1:24">
      <c r="A682" s="346"/>
    </row>
    <row r="683" spans="1:24">
      <c r="A683" s="346"/>
    </row>
    <row r="684" spans="1:24">
      <c r="A684" s="346"/>
    </row>
    <row r="685" spans="1:24">
      <c r="A685" s="346"/>
    </row>
    <row r="686" spans="1:24">
      <c r="A686" s="346"/>
    </row>
    <row r="687" spans="1:24">
      <c r="A687" s="346"/>
    </row>
    <row r="688" spans="1:24">
      <c r="A688" s="346"/>
    </row>
    <row r="689" spans="1:12">
      <c r="A689" s="346"/>
    </row>
    <row r="690" spans="1:12" ht="30.75" customHeight="1">
      <c r="A690" s="618" t="str">
        <f>"- Between 2005/06 and 2014/15, the rate of older people receiving intensive home care per 1,000 population aged 65+:"</f>
        <v>- Between 2005/06 and 2014/15, the rate of older people receiving intensive home care per 1,000 population aged 65+:</v>
      </c>
      <c r="B690" s="618"/>
      <c r="C690" s="618"/>
      <c r="D690" s="618"/>
      <c r="E690" s="618"/>
      <c r="F690" s="618"/>
      <c r="G690" s="618"/>
      <c r="H690" s="618"/>
      <c r="I690" s="618"/>
      <c r="J690" s="455"/>
      <c r="K690" s="570"/>
    </row>
    <row r="691" spans="1:12" ht="30.75" customHeight="1">
      <c r="A691" s="618" t="str">
        <f>"      - In " &amp; $C$5 &amp; " has moved from " &amp; TEXT($O$676,"0.0") &amp; " in 2005/06 to " &amp; TEXT($X$676,"0.0") &amp; " per 1,000 population in 2014/15"</f>
        <v xml:space="preserve">      - In Aberdeen City has moved from 18.1 in 2005/06 to 13.2 per 1,000 population in 2014/15</v>
      </c>
      <c r="B691" s="618"/>
      <c r="C691" s="618"/>
      <c r="D691" s="618"/>
      <c r="E691" s="618"/>
      <c r="F691" s="618"/>
      <c r="G691" s="618"/>
      <c r="H691" s="618"/>
      <c r="I691" s="618"/>
      <c r="J691" s="455"/>
      <c r="K691" s="570"/>
    </row>
    <row r="692" spans="1:12" ht="30.75" customHeight="1">
      <c r="A692" s="618" t="str">
        <f>"      - The average rate in Scotland has moved from "&amp;TEXT($O$677,"0.0")&amp;" in 2005/06 to " &amp; TEXT($X$677,"0.0") &amp; " per 1,000 population in 2014/15"</f>
        <v xml:space="preserve">      - The average rate in Scotland has moved from 16.8 in 2005/06 to 17.4 per 1,000 population in 2014/15</v>
      </c>
      <c r="B692" s="618"/>
      <c r="C692" s="618"/>
      <c r="D692" s="618"/>
      <c r="E692" s="618"/>
      <c r="F692" s="618"/>
      <c r="G692" s="618"/>
      <c r="H692" s="618"/>
      <c r="I692" s="618"/>
      <c r="J692" s="455"/>
      <c r="K692" s="570"/>
    </row>
    <row r="693" spans="1:12">
      <c r="A693" s="346"/>
    </row>
    <row r="694" spans="1:12">
      <c r="A694" s="293" t="str">
        <f>"Figure " &amp; $L$694 &amp; " - Intensive home care provided across Scotland"</f>
        <v>Figure 29 - Intensive home care provided across Scotland</v>
      </c>
      <c r="L694" s="320">
        <f>$L$672+1</f>
        <v>29</v>
      </c>
    </row>
    <row r="714" spans="1:12" ht="27.75" customHeight="1">
      <c r="A714" s="615" t="str">
        <f>"- Over 2014/15, in " &amp; $C$5 &amp; ", there was a rate of " &amp; TEXT('Statistics - Older People'!$B$344,"0.0") &amp; " people per 1,000 population aged 65+ receiving intensive home care (i.e. 10+ hours per week)"</f>
        <v>- Over 2014/15, in Aberdeen City, there was a rate of 13.2 people per 1,000 population aged 65+ receiving intensive home care (i.e. 10+ hours per week)</v>
      </c>
      <c r="B714" s="615"/>
      <c r="C714" s="615"/>
      <c r="D714" s="615"/>
      <c r="E714" s="615"/>
      <c r="F714" s="615"/>
      <c r="G714" s="615"/>
      <c r="H714" s="615"/>
      <c r="I714" s="615"/>
      <c r="J714" s="453"/>
      <c r="K714" s="569"/>
    </row>
    <row r="715" spans="1:12" ht="12.75" customHeight="1">
      <c r="A715" s="615" t="str">
        <f>"- The national rate was " &amp; TEXT('Statistics - Older People'!$D$342,"0.0") &amp; " per 1,000 population aged 65+ (represented by the horizontal line)"</f>
        <v>- The national rate was 17.4 per 1,000 population aged 65+ (represented by the horizontal line)</v>
      </c>
      <c r="B715" s="615"/>
      <c r="C715" s="615"/>
      <c r="D715" s="615"/>
      <c r="E715" s="615"/>
      <c r="F715" s="615"/>
      <c r="G715" s="615"/>
      <c r="H715" s="615"/>
      <c r="I715" s="615"/>
      <c r="J715" s="453"/>
      <c r="K715" s="569"/>
    </row>
    <row r="716" spans="1:12" ht="12.75" customHeight="1">
      <c r="A716" s="615" t="str">
        <f>"- Rates in 2014/15 ranged from " &amp; TEXT('Statistics - Older People'!$B$340,"0.0") &amp; " to " &amp; TEXT('Statistics - Older People'!$B$311,"0.0") &amp; " per 1,000 population aged 65+"</f>
        <v>- Rates in 2014/15 ranged from 9.0 to 31.3 per 1,000 population aged 65+</v>
      </c>
      <c r="B716" s="615"/>
      <c r="C716" s="615"/>
      <c r="D716" s="615"/>
      <c r="E716" s="615"/>
      <c r="F716" s="615"/>
      <c r="G716" s="615"/>
      <c r="H716" s="615"/>
      <c r="I716" s="615"/>
      <c r="J716" s="453"/>
      <c r="K716" s="569"/>
    </row>
    <row r="717" spans="1:12" ht="28.5" customHeight="1">
      <c r="A717" s="621" t="str">
        <f>"Figure " &amp;$L$717 &amp;" - Balance of care (supported in care homes / intensive home care) across Scotland"</f>
        <v>Figure 30 - Balance of care (supported in care homes / intensive home care) across Scotland</v>
      </c>
      <c r="B717" s="620"/>
      <c r="C717" s="620"/>
      <c r="D717" s="620"/>
      <c r="E717" s="620"/>
      <c r="F717" s="620"/>
      <c r="G717" s="620"/>
      <c r="H717" s="620"/>
      <c r="I717" s="348"/>
      <c r="J717" s="454"/>
      <c r="K717" s="568"/>
      <c r="L717" s="320">
        <f>$L$694+1</f>
        <v>30</v>
      </c>
    </row>
    <row r="718" spans="1:12">
      <c r="A718" s="293"/>
    </row>
    <row r="719" spans="1:12">
      <c r="A719" s="620" t="str">
        <f>LEFT($A$717,9)&amp;" shows the wide variation across authorities in Scotland in the balance of care."</f>
        <v>Figure 30 shows the wide variation across authorities in Scotland in the balance of care.</v>
      </c>
      <c r="B719" s="620"/>
      <c r="C719" s="620"/>
      <c r="D719" s="620"/>
      <c r="E719" s="620"/>
      <c r="F719" s="620"/>
      <c r="G719" s="620"/>
      <c r="H719" s="620"/>
      <c r="I719" s="348"/>
      <c r="J719" s="454"/>
      <c r="K719" s="568"/>
    </row>
    <row r="723" spans="12:17">
      <c r="L723" s="383"/>
      <c r="M723" s="13"/>
      <c r="N723" s="13"/>
      <c r="O723" s="13"/>
      <c r="P723" s="13"/>
      <c r="Q723" s="13"/>
    </row>
    <row r="724" spans="12:17">
      <c r="L724" s="383"/>
      <c r="M724" s="13"/>
      <c r="N724" s="13"/>
      <c r="O724" s="13"/>
      <c r="P724" s="13"/>
      <c r="Q724" s="13"/>
    </row>
    <row r="725" spans="12:17">
      <c r="L725" s="383"/>
      <c r="M725" s="13"/>
      <c r="N725" s="13"/>
      <c r="O725" s="13"/>
      <c r="P725" s="13"/>
      <c r="Q725" s="13"/>
    </row>
    <row r="726" spans="12:17">
      <c r="L726" s="383"/>
      <c r="M726" s="13"/>
      <c r="N726" s="13"/>
      <c r="O726" s="13"/>
      <c r="P726" s="13"/>
      <c r="Q726" s="13"/>
    </row>
    <row r="727" spans="12:17">
      <c r="L727" s="383"/>
      <c r="M727" s="13"/>
      <c r="N727" s="13"/>
      <c r="O727" s="13"/>
      <c r="P727" s="13"/>
      <c r="Q727" s="13"/>
    </row>
    <row r="728" spans="12:17">
      <c r="L728" s="383"/>
      <c r="M728" s="13"/>
      <c r="N728" s="13"/>
      <c r="O728" s="13"/>
      <c r="P728" s="13"/>
      <c r="Q728" s="13"/>
    </row>
    <row r="729" spans="12:17">
      <c r="L729" s="383"/>
      <c r="M729" s="13"/>
      <c r="N729" s="13"/>
      <c r="O729" s="13"/>
      <c r="P729" s="13"/>
      <c r="Q729" s="13"/>
    </row>
    <row r="730" spans="12:17">
      <c r="L730" s="383"/>
      <c r="M730" s="13"/>
      <c r="N730" s="13"/>
      <c r="O730" s="13"/>
      <c r="P730" s="13"/>
      <c r="Q730" s="13"/>
    </row>
    <row r="731" spans="12:17">
      <c r="L731" s="383"/>
      <c r="M731" s="13"/>
      <c r="N731" s="13"/>
      <c r="O731" s="13"/>
      <c r="P731" s="13"/>
      <c r="Q731" s="13"/>
    </row>
    <row r="732" spans="12:17">
      <c r="L732" s="383"/>
      <c r="M732" s="13"/>
      <c r="N732" s="13"/>
      <c r="O732" s="13"/>
      <c r="P732" s="13"/>
      <c r="Q732" s="13"/>
    </row>
    <row r="733" spans="12:17">
      <c r="L733" s="383"/>
      <c r="M733" s="13"/>
      <c r="N733" s="13"/>
      <c r="O733" s="13"/>
      <c r="P733" s="13"/>
      <c r="Q733" s="13"/>
    </row>
    <row r="741" spans="1:17" ht="15" customHeight="1">
      <c r="A741" s="615" t="str">
        <f>" - During 2014/15, the balance of care in " &amp; $C$5 &amp; " can be broken down as follows:"</f>
        <v xml:space="preserve"> - During 2014/15, the balance of care in Aberdeen City can be broken down as follows:</v>
      </c>
      <c r="B741" s="615"/>
      <c r="C741" s="615"/>
      <c r="D741" s="615"/>
      <c r="E741" s="615"/>
      <c r="F741" s="615"/>
      <c r="G741" s="615"/>
      <c r="H741" s="615"/>
      <c r="I741" s="615"/>
      <c r="J741" s="453"/>
      <c r="K741" s="569"/>
      <c r="N741" s="91"/>
      <c r="O741" s="116" t="s">
        <v>142</v>
      </c>
      <c r="P741" s="116" t="s">
        <v>143</v>
      </c>
      <c r="Q741" s="91" t="s">
        <v>110</v>
      </c>
    </row>
    <row r="742" spans="1:17" ht="15" customHeight="1">
      <c r="A742" s="390" t="s">
        <v>257</v>
      </c>
      <c r="N742" t="str">
        <f>$C$5</f>
        <v>Aberdeen City</v>
      </c>
      <c r="O742" s="90">
        <f>VLOOKUP($C$5,'Statistics - Older People'!$A$393:$D$432,3,0)</f>
        <v>13.163655468316744</v>
      </c>
      <c r="P742" s="90">
        <f>VLOOKUP($C$5,'Statistics - Older People'!$A$393:$D$432,2,0)</f>
        <v>39.403403286535706</v>
      </c>
      <c r="Q742" s="90">
        <f>VLOOKUP($C$5,'Statistics - Older People'!$A$393:$D$432,4,0)</f>
        <v>52.567058754852454</v>
      </c>
    </row>
    <row r="743" spans="1:17" ht="15" customHeight="1">
      <c r="A743" s="615" t="str">
        <f>"     -" &amp; TEXT($O$742,"0.0")&amp;" people per 1,000 population (or " &amp; TEXT($O$743,"0%") &amp;  ") aged 65+  were receiving intensive home care."</f>
        <v xml:space="preserve">     -13.2 people per 1,000 population (or 25%) aged 65+  were receiving intensive home care.</v>
      </c>
      <c r="B743" s="615"/>
      <c r="C743" s="615"/>
      <c r="D743" s="615"/>
      <c r="E743" s="615"/>
      <c r="F743" s="615"/>
      <c r="G743" s="615"/>
      <c r="H743" s="615"/>
      <c r="I743" s="615"/>
      <c r="J743" s="453"/>
      <c r="K743" s="569"/>
      <c r="N743" t="s">
        <v>144</v>
      </c>
      <c r="O743" s="121">
        <f>O742/$Q$742</f>
        <v>0.2504164353137146</v>
      </c>
      <c r="P743" s="121">
        <f>P742/$Q$742</f>
        <v>0.74958356468628529</v>
      </c>
      <c r="Q743">
        <f>Q742/$Q$742</f>
        <v>1</v>
      </c>
    </row>
    <row r="744" spans="1:17" ht="15" customHeight="1">
      <c r="A744" s="615" t="str">
        <f>"     - Scotland's rate was "&amp;TEXT('Statistics - Older People'!$C$431,"0.0")&amp;" per 1,000 (or " &amp; TEXT($O$744,"0%") &amp; ")"</f>
        <v xml:space="preserve">     - Scotland's rate was 17.4 per 1,000 (or 36%)</v>
      </c>
      <c r="B744" s="615"/>
      <c r="C744" s="615"/>
      <c r="D744" s="615"/>
      <c r="E744" s="615"/>
      <c r="F744" s="615"/>
      <c r="G744" s="615"/>
      <c r="H744" s="615"/>
      <c r="I744" s="615"/>
      <c r="J744" s="453"/>
      <c r="K744" s="569"/>
      <c r="N744" t="s">
        <v>5</v>
      </c>
      <c r="O744" s="121">
        <f>'Statistics - Older People'!$C$431/'Statistics - Older People'!$D$431</f>
        <v>0.35708670618480043</v>
      </c>
      <c r="P744" s="121">
        <f>'Statistics - Older People'!$B$431/'Statistics - Older People'!$D$431</f>
        <v>0.64291329381519968</v>
      </c>
      <c r="Q744">
        <f>SUM(O744:P744)</f>
        <v>1</v>
      </c>
    </row>
    <row r="745" spans="1:17" ht="15" customHeight="1">
      <c r="A745" s="615" t="str">
        <f>"     - Rates across Scotland ranged from "&amp;TEXT('Statistics - Older People'!E432,"0%")&amp;" to " &amp; TEXT('Statistics - Older People'!B432,"0%")</f>
        <v xml:space="preserve">     - Rates across Scotland ranged from 21% to 50%</v>
      </c>
      <c r="B745" s="615"/>
      <c r="C745" s="615"/>
      <c r="D745" s="615"/>
      <c r="E745" s="615"/>
      <c r="F745" s="615"/>
      <c r="G745" s="615"/>
      <c r="H745" s="615"/>
      <c r="I745" s="615"/>
      <c r="J745" s="453"/>
      <c r="K745" s="569"/>
    </row>
    <row r="746" spans="1:17" ht="15" customHeight="1">
      <c r="A746" s="663" t="s">
        <v>258</v>
      </c>
      <c r="B746" s="663"/>
      <c r="C746" s="663"/>
      <c r="D746" s="663"/>
      <c r="E746" s="663"/>
      <c r="F746" s="663"/>
      <c r="G746" s="663"/>
      <c r="H746" s="663"/>
      <c r="I746" s="663"/>
      <c r="J746" s="462"/>
      <c r="K746" s="582"/>
    </row>
    <row r="747" spans="1:17" ht="15" customHeight="1">
      <c r="A747" s="615" t="str">
        <f>"     -" &amp; TEXT($P$742,"0.0") &amp; " per 1,000 population (or "&amp; TEXT($P$743,"0%") &amp; ") aged 65+ were supported in care homes."</f>
        <v xml:space="preserve">     -39.4 per 1,000 population (or 75%) aged 65+ were supported in care homes.</v>
      </c>
      <c r="B747" s="615"/>
      <c r="C747" s="615"/>
      <c r="D747" s="615"/>
      <c r="E747" s="615"/>
      <c r="F747" s="615"/>
      <c r="G747" s="615"/>
      <c r="H747" s="615"/>
      <c r="I747" s="615"/>
      <c r="J747" s="453"/>
      <c r="K747" s="569"/>
    </row>
    <row r="748" spans="1:17" ht="15" customHeight="1">
      <c r="A748" s="615" t="str">
        <f>"     - Scotland's rate was "&amp;TEXT('Statistics - Older People'!$B$431,"0.0")&amp;" per 1,000 (or " &amp; TEXT($P$744,"0%") &amp;")"</f>
        <v xml:space="preserve">     - Scotland's rate was 31.2 per 1,000 (or 64%)</v>
      </c>
      <c r="B748" s="615"/>
      <c r="C748" s="615"/>
      <c r="D748" s="615"/>
      <c r="E748" s="615"/>
      <c r="F748" s="615"/>
      <c r="G748" s="615"/>
      <c r="H748" s="615"/>
      <c r="I748" s="615"/>
      <c r="J748" s="453"/>
      <c r="K748" s="569"/>
    </row>
    <row r="749" spans="1:17" ht="15" customHeight="1">
      <c r="A749" s="615" t="str">
        <f>"     - Rates across Scotland ranged from "&amp;TEXT('Statistics - Older People'!E433,"0%")&amp;" to " &amp; TEXT('Statistics - Older People'!B433,"0%")</f>
        <v xml:space="preserve">     - Rates across Scotland ranged from 50% to 79%</v>
      </c>
      <c r="B749" s="615"/>
      <c r="C749" s="615"/>
      <c r="D749" s="615"/>
      <c r="E749" s="615"/>
      <c r="F749" s="615"/>
      <c r="G749" s="615"/>
      <c r="H749" s="615"/>
      <c r="I749" s="615"/>
      <c r="J749" s="453"/>
      <c r="K749" s="569"/>
    </row>
    <row r="751" spans="1:17">
      <c r="A751" s="661" t="str">
        <f>"Figure " &amp; $L$751 &amp; " - Total rates of home care hours provided by sector across Scotland"</f>
        <v>Figure 31 - Total rates of home care hours provided by sector across Scotland</v>
      </c>
      <c r="B751" s="661"/>
      <c r="C751" s="661"/>
      <c r="D751" s="661"/>
      <c r="E751" s="661"/>
      <c r="F751" s="661"/>
      <c r="G751" s="661"/>
      <c r="H751" s="661"/>
      <c r="I751" s="384"/>
      <c r="J751" s="448"/>
      <c r="K751" s="571"/>
      <c r="L751" s="320">
        <f>$L$717+1</f>
        <v>31</v>
      </c>
    </row>
    <row r="755" spans="13:23">
      <c r="M755" s="13"/>
      <c r="N755" s="13"/>
      <c r="O755" s="13"/>
      <c r="P755" s="13"/>
    </row>
    <row r="756" spans="13:23">
      <c r="M756" s="13"/>
      <c r="N756" s="13"/>
      <c r="O756" s="13"/>
      <c r="P756" s="13"/>
    </row>
    <row r="757" spans="13:23">
      <c r="M757" s="13"/>
      <c r="N757" s="13"/>
      <c r="O757" s="13"/>
      <c r="P757" s="13"/>
    </row>
    <row r="758" spans="13:23">
      <c r="M758" s="13"/>
      <c r="N758" s="13"/>
      <c r="O758" s="13"/>
      <c r="P758" s="13"/>
    </row>
    <row r="759" spans="13:23">
      <c r="M759" s="13"/>
      <c r="N759" s="13"/>
      <c r="O759" s="13"/>
      <c r="P759" s="13"/>
    </row>
    <row r="760" spans="13:23">
      <c r="M760" s="13"/>
      <c r="N760" s="13"/>
      <c r="O760" s="13"/>
      <c r="P760" s="13"/>
    </row>
    <row r="761" spans="13:23">
      <c r="M761" s="13"/>
      <c r="N761" s="13"/>
      <c r="O761" s="13"/>
      <c r="P761" s="13"/>
    </row>
    <row r="762" spans="13:23">
      <c r="M762" s="13"/>
      <c r="N762" s="13"/>
      <c r="O762" s="13"/>
      <c r="P762" s="13"/>
    </row>
    <row r="763" spans="13:23">
      <c r="M763" s="13"/>
      <c r="N763" s="13"/>
      <c r="O763" s="13"/>
      <c r="P763" s="13"/>
    </row>
    <row r="764" spans="13:23">
      <c r="M764" s="13"/>
      <c r="N764" s="13"/>
      <c r="O764" s="13"/>
      <c r="P764" s="13"/>
    </row>
    <row r="765" spans="13:23">
      <c r="M765" s="13"/>
      <c r="N765" s="13"/>
      <c r="O765" s="13"/>
      <c r="P765" s="13"/>
    </row>
    <row r="766" spans="13:23">
      <c r="M766" s="13"/>
      <c r="N766" s="13"/>
      <c r="O766" s="13"/>
      <c r="P766" s="13"/>
    </row>
    <row r="767" spans="13:23">
      <c r="M767" s="13"/>
      <c r="N767" s="13"/>
      <c r="O767" s="13"/>
      <c r="P767" s="13"/>
    </row>
    <row r="768" spans="13:23">
      <c r="W768" s="18"/>
    </row>
    <row r="774" spans="1:24" ht="28.5" customHeight="1">
      <c r="A774" s="615" t="str">
        <f>" - At March 2015, in " &amp; $C$5 &amp; ", a total of " &amp; TEXT($S$775,"0.0") &amp; " home care hours were provided per 1,000 population.  The breakdown of home care provision is given as follows:"</f>
        <v xml:space="preserve"> - At March 2015, in Aberdeen City, a total of 522.5 home care hours were provided per 1,000 population.  The breakdown of home care provision is given as follows:</v>
      </c>
      <c r="B774" s="615"/>
      <c r="C774" s="615"/>
      <c r="D774" s="615"/>
      <c r="E774" s="615"/>
      <c r="F774" s="615"/>
      <c r="G774" s="615"/>
      <c r="H774" s="615"/>
      <c r="I774" s="615"/>
      <c r="J774" s="453"/>
      <c r="K774" s="569"/>
      <c r="O774" t="s">
        <v>210</v>
      </c>
      <c r="P774" t="s">
        <v>211</v>
      </c>
      <c r="Q774" t="s">
        <v>147</v>
      </c>
      <c r="R774" t="s">
        <v>359</v>
      </c>
      <c r="S774" t="s">
        <v>110</v>
      </c>
    </row>
    <row r="775" spans="1:24" ht="28.5" customHeight="1">
      <c r="A775" s="615" t="str">
        <f>"     -" &amp; TEXT($O$775,"0.0") &amp; " home care hours per 1,000 population (or " &amp; TEXT($O$776,"0%") &amp; " of the total) provided solely from local authority (Scotland's rate was " &amp; TEXT('Statistics - Older People'!$G$384,"0.0") &amp;")"</f>
        <v xml:space="preserve">     -0.0 home care hours per 1,000 population (or 0% of the total) provided solely from local authority (Scotland's rate was 239.1)</v>
      </c>
      <c r="B775" s="615"/>
      <c r="C775" s="615"/>
      <c r="D775" s="615"/>
      <c r="E775" s="615"/>
      <c r="F775" s="615"/>
      <c r="G775" s="615"/>
      <c r="H775" s="615"/>
      <c r="I775" s="615"/>
      <c r="J775" s="453"/>
      <c r="K775" s="569"/>
      <c r="N775" t="str">
        <f>$C$5</f>
        <v>Aberdeen City</v>
      </c>
      <c r="O775" s="90">
        <f>'Statistics - Older People'!Q387</f>
        <v>0</v>
      </c>
      <c r="P775" s="90">
        <f>'Statistics - Older People'!R387</f>
        <v>516.62239864569051</v>
      </c>
      <c r="Q775" s="90">
        <f>'Statistics - Older People'!S387</f>
        <v>0</v>
      </c>
      <c r="R775" s="90">
        <f>'Statistics - Older People'!T387</f>
        <v>5.8375412276349206</v>
      </c>
      <c r="S775" s="90">
        <f>'Statistics - Older People'!W387</f>
        <v>522.45993987332542</v>
      </c>
      <c r="T775" s="18"/>
      <c r="U775" s="18"/>
      <c r="V775" s="18"/>
    </row>
    <row r="776" spans="1:24" ht="33" customHeight="1">
      <c r="A776" s="615" t="str">
        <f>"     -" &amp; TEXT($P$775,"0.0") &amp;" hours per 1,000 population (or " &amp; TEXT($P$776,"0%") &amp; " of the total) was provided from a combination of sectors (Scotland rate " &amp; TEXT('Statistics - Older People'!$I$384,"0.0") &amp;")"</f>
        <v xml:space="preserve">     -516.6 hours per 1,000 population (or 99% of the total) was provided from a combination of sectors (Scotland rate 74.5)</v>
      </c>
      <c r="B776" s="615"/>
      <c r="C776" s="615"/>
      <c r="D776" s="615"/>
      <c r="E776" s="615"/>
      <c r="F776" s="615"/>
      <c r="G776" s="615"/>
      <c r="H776" s="615"/>
      <c r="I776" s="615"/>
      <c r="J776" s="453"/>
      <c r="K776" s="569"/>
      <c r="N776" t="str">
        <f>N775</f>
        <v>Aberdeen City</v>
      </c>
      <c r="O776" s="18">
        <f>O775/$S$775</f>
        <v>0</v>
      </c>
      <c r="P776" s="18">
        <f t="shared" ref="P776:S776" si="4">P775/$S$775</f>
        <v>0.98882681564245811</v>
      </c>
      <c r="Q776" s="18">
        <f t="shared" si="4"/>
        <v>0</v>
      </c>
      <c r="R776" s="18">
        <f t="shared" si="4"/>
        <v>1.1173184357541898E-2</v>
      </c>
      <c r="S776" s="18">
        <f t="shared" si="4"/>
        <v>1</v>
      </c>
    </row>
    <row r="777" spans="1:24" ht="29.25" customHeight="1">
      <c r="A777" s="615" t="str">
        <f>"     -" &amp; TEXT($Q$775,"0.0") &amp;" home care hours per 1,000 population (or " &amp; TEXT($Q$776,"0%") &amp; " of the total) provided solely from private/voluntary sector (Scotland's rate was " &amp; TEXT('Statistics - Older People'!$H$384,"0.0") &amp;")"</f>
        <v xml:space="preserve">     -0.0 home care hours per 1,000 population (or 0% of the total) provided solely from private/voluntary sector (Scotland's rate was 405.5)</v>
      </c>
      <c r="B777" s="615"/>
      <c r="C777" s="615"/>
      <c r="D777" s="615"/>
      <c r="E777" s="615"/>
      <c r="F777" s="615"/>
      <c r="G777" s="615"/>
      <c r="H777" s="615"/>
      <c r="I777" s="615"/>
      <c r="J777" s="453"/>
      <c r="K777" s="569"/>
      <c r="W777" s="10" t="s">
        <v>369</v>
      </c>
    </row>
    <row r="778" spans="1:24">
      <c r="W778" s="18">
        <f>('LFR Data'!$K10/'LFR Data'!$K$2)-1</f>
        <v>6.2935354148992984E-2</v>
      </c>
    </row>
    <row r="779" spans="1:24" ht="18.75">
      <c r="A779" s="625" t="s">
        <v>88</v>
      </c>
      <c r="B779" s="625"/>
      <c r="C779" s="625"/>
      <c r="D779" s="625"/>
      <c r="E779" s="625"/>
      <c r="F779" s="625"/>
      <c r="G779" s="625"/>
      <c r="H779" s="625"/>
      <c r="I779" s="349"/>
      <c r="J779" s="449"/>
      <c r="K779" s="572"/>
      <c r="W779" s="18">
        <f>('LFR Data'!$K22/'LFR Data'!$K$14)-1</f>
        <v>0.19995016222090012</v>
      </c>
    </row>
    <row r="781" spans="1:24" ht="33.75" customHeight="1">
      <c r="A781" s="661" t="str">
        <f>"Figure " &amp; $L$781 &amp; " - " &amp; $C$5 &amp; " and Scotland's movement in learning disability social work expenditure"</f>
        <v>Figure 32 - Aberdeen City and Scotland's movement in learning disability social work expenditure</v>
      </c>
      <c r="B781" s="661"/>
      <c r="C781" s="661"/>
      <c r="D781" s="661"/>
      <c r="E781" s="661"/>
      <c r="F781" s="661"/>
      <c r="G781" s="661"/>
      <c r="H781" s="661"/>
      <c r="I781" s="384"/>
      <c r="J781" s="448"/>
      <c r="K781" s="571"/>
      <c r="L781" s="320">
        <f>$L$751+1</f>
        <v>32</v>
      </c>
    </row>
    <row r="783" spans="1:24">
      <c r="M783" t="s">
        <v>88</v>
      </c>
    </row>
    <row r="784" spans="1:24" ht="12" customHeight="1">
      <c r="O784" s="10" t="s">
        <v>4</v>
      </c>
      <c r="P784" s="10" t="s">
        <v>0</v>
      </c>
      <c r="Q784" s="10" t="s">
        <v>1</v>
      </c>
      <c r="R784" s="10" t="s">
        <v>28</v>
      </c>
      <c r="S784" s="10" t="s">
        <v>65</v>
      </c>
      <c r="T784" s="10" t="s">
        <v>267</v>
      </c>
      <c r="U784" s="10" t="s">
        <v>315</v>
      </c>
      <c r="V784" s="10" t="s">
        <v>322</v>
      </c>
      <c r="W784" s="10" t="s">
        <v>369</v>
      </c>
      <c r="X784" s="10" t="s">
        <v>382</v>
      </c>
    </row>
    <row r="785" spans="1:24">
      <c r="M785" s="685" t="str">
        <f>C5</f>
        <v>Aberdeen City</v>
      </c>
      <c r="N785" s="686"/>
      <c r="O785" s="18">
        <f>('LFR Data'!$K2/'LFR Data'!$K$2)-1</f>
        <v>0</v>
      </c>
      <c r="P785" s="18">
        <f>('LFR Data'!$K3/'LFR Data'!$K$2)-1</f>
        <v>0.10396853320792654</v>
      </c>
      <c r="Q785" s="18">
        <f>('LFR Data'!$K4/'LFR Data'!$K$2)-1</f>
        <v>7.0807812728529651E-2</v>
      </c>
      <c r="R785" s="18">
        <f>('LFR Data'!$K5/'LFR Data'!$K$2)-1</f>
        <v>6.2685064412338898E-2</v>
      </c>
      <c r="S785" s="18">
        <f>('LFR Data'!$K6/'LFR Data'!$K$2)-1</f>
        <v>6.6265222662380774E-2</v>
      </c>
      <c r="T785" s="18">
        <f>('LFR Data'!$K7/'LFR Data'!$K$2)-1</f>
        <v>0.12932990347314854</v>
      </c>
      <c r="U785" s="18">
        <f>('LFR Data'!$K8/'LFR Data'!$K$2)-1</f>
        <v>0.13472428299805483</v>
      </c>
      <c r="V785" s="18">
        <f>('LFR Data'!$K9/'LFR Data'!$K$2)-1</f>
        <v>9.0622694400555259E-2</v>
      </c>
      <c r="W785" s="18">
        <f>('LFR Data'!$K10/'LFR Data'!$K$2)-1</f>
        <v>6.2935354148992984E-2</v>
      </c>
      <c r="X785" s="18">
        <f>('LFR Data'!$K11/'LFR Data'!$K$2)-1</f>
        <v>8.8533636132315463E-2</v>
      </c>
    </row>
    <row r="786" spans="1:24">
      <c r="M786" s="685" t="s">
        <v>5</v>
      </c>
      <c r="N786" s="686"/>
      <c r="O786" s="18">
        <f>('LFR Data'!$K14/'LFR Data'!$K$14)-1</f>
        <v>0</v>
      </c>
      <c r="P786" s="18">
        <f>('LFR Data'!$K15/'LFR Data'!$K$14)-1</f>
        <v>2.9874825328070287E-2</v>
      </c>
      <c r="Q786" s="18">
        <f>('LFR Data'!$K16/'LFR Data'!$K$14)-1</f>
        <v>6.8520887472616643E-2</v>
      </c>
      <c r="R786" s="18">
        <f>('LFR Data'!$K17/'LFR Data'!$K$14)-1</f>
        <v>0.1594983482338328</v>
      </c>
      <c r="S786" s="18">
        <f>('LFR Data'!$K18/'LFR Data'!$K$14)-1</f>
        <v>0.19764637898894688</v>
      </c>
      <c r="T786" s="18">
        <f>('LFR Data'!$K19/'LFR Data'!$K$14)-1</f>
        <v>0.20362620908118667</v>
      </c>
      <c r="U786" s="18">
        <f>('LFR Data'!$K20/'LFR Data'!$K$14)-1</f>
        <v>0.20822374562103496</v>
      </c>
      <c r="V786" s="18">
        <f>('LFR Data'!$K21/'LFR Data'!$K$14)-1</f>
        <v>0.23879874860760464</v>
      </c>
      <c r="W786" s="18">
        <f>('LFR Data'!$K22/'LFR Data'!$K$14)-1</f>
        <v>0.19995016222090012</v>
      </c>
      <c r="X786" s="18">
        <f>('LFR Data'!$K23/'LFR Data'!$K$14)-1</f>
        <v>0.19751489042816894</v>
      </c>
    </row>
    <row r="798" spans="1:24" ht="22.5" customHeight="1"/>
    <row r="799" spans="1:24">
      <c r="A799" s="346" t="str">
        <f>"- Over the period, spend has moved from £"&amp;ROUND('LFR Data'!K2,-2)/1000&amp;" million to £"&amp;ROUND('LFR Data'!K11,-2)/1000&amp;" million (in real terms)"</f>
        <v>- Over the period, spend has moved from £27.9 million to £30.4 million (in real terms)</v>
      </c>
    </row>
    <row r="800" spans="1:24">
      <c r="A800" s="346" t="str">
        <f>"- This represents a move of "&amp;ROUND('LFR Data'!K12*100,0)&amp;"%"</f>
        <v>- This represents a move of 9%</v>
      </c>
    </row>
    <row r="801" spans="1:24">
      <c r="A801" s="346" t="str">
        <f>"- Nationally, spend has moved by "&amp;ROUND('LFR Data'!K24*100,0)&amp;"%"</f>
        <v>- Nationally, spend has moved by 20%</v>
      </c>
    </row>
    <row r="802" spans="1:24">
      <c r="A802" s="346"/>
    </row>
    <row r="803" spans="1:24" ht="31.5" customHeight="1">
      <c r="A803" s="661" t="str">
        <f>"Figure " &amp; $L$803 &amp;" - " &amp; $C$5 &amp; " and Scotland's per head expenditure on learning disability services"</f>
        <v>Figure 33 - Aberdeen City and Scotland's per head expenditure on learning disability services</v>
      </c>
      <c r="B803" s="661"/>
      <c r="C803" s="661"/>
      <c r="D803" s="661"/>
      <c r="E803" s="661"/>
      <c r="F803" s="661"/>
      <c r="G803" s="661"/>
      <c r="H803" s="661"/>
      <c r="I803" s="384"/>
      <c r="J803" s="448"/>
      <c r="K803" s="571"/>
      <c r="L803" s="320">
        <f>$L$781+1</f>
        <v>33</v>
      </c>
    </row>
    <row r="809" spans="1:24">
      <c r="O809" s="10" t="s">
        <v>4</v>
      </c>
      <c r="P809" s="10" t="s">
        <v>0</v>
      </c>
      <c r="Q809" s="10" t="s">
        <v>1</v>
      </c>
      <c r="R809" s="10" t="s">
        <v>28</v>
      </c>
      <c r="S809" s="10" t="s">
        <v>65</v>
      </c>
      <c r="T809" s="10" t="s">
        <v>267</v>
      </c>
      <c r="U809" s="10" t="s">
        <v>315</v>
      </c>
      <c r="V809" s="10" t="s">
        <v>322</v>
      </c>
      <c r="W809" s="10" t="s">
        <v>369</v>
      </c>
      <c r="X809" s="10" t="s">
        <v>382</v>
      </c>
    </row>
    <row r="810" spans="1:24">
      <c r="M810" s="685" t="str">
        <f>C5</f>
        <v>Aberdeen City</v>
      </c>
      <c r="N810" s="686"/>
      <c r="O810" s="87">
        <f>VLOOKUP(Cover!$C$5,'2005-06'!$O$2:$AA$34,8)</f>
        <v>205.739506388069</v>
      </c>
      <c r="P810" s="87">
        <f>VLOOKUP(Cover!$C$5,'2006-07'!$O$2:$AA$34,8)</f>
        <v>224.64425768759114</v>
      </c>
      <c r="Q810" s="87">
        <f>VLOOKUP(Cover!$C$5,'2007-08'!$O$2:$AA$34,8)</f>
        <v>214.51788524981669</v>
      </c>
      <c r="R810" s="87">
        <f>VLOOKUP(Cover!$C$5,'2008-09'!$O$2:$AA$34,8)</f>
        <v>211.44612970496567</v>
      </c>
      <c r="S810" s="87">
        <f>VLOOKUP(Cover!$C$5,'2009-10'!$O$2:$AA$34,8)</f>
        <v>207.53214746747594</v>
      </c>
      <c r="T810" s="87">
        <f>VLOOKUP(Cover!$C$5,'2010-11'!$O$2:$AA$34,8)</f>
        <v>215.43747219074956</v>
      </c>
      <c r="U810" s="87">
        <f>VLOOKUP(Cover!$C$5,'2011-12'!$O$2:$AA$34,8)</f>
        <v>206.38777430846557</v>
      </c>
      <c r="V810" s="87">
        <f>VLOOKUP(Cover!$C$5,'2012-13'!$O$2:$AA$34,8)</f>
        <v>197.21636276577848</v>
      </c>
      <c r="W810" s="87">
        <f>VLOOKUP(Cover!$C$5,'2013-14'!$O$2:$AA$34,8)</f>
        <v>189.03797248029755</v>
      </c>
      <c r="X810" s="87">
        <f>VLOOKUP(Cover!$C$5,'2014-15'!$O$2:$AA$34,8)</f>
        <v>193.59050458511257</v>
      </c>
    </row>
    <row r="811" spans="1:24">
      <c r="M811" s="685" t="s">
        <v>5</v>
      </c>
      <c r="N811" s="686"/>
      <c r="O811" s="87">
        <f>'2005-06'!$V$35</f>
        <v>175.55222051845143</v>
      </c>
      <c r="P811" s="87">
        <f>'2006-07'!$V$35</f>
        <v>179.33738727845005</v>
      </c>
      <c r="Q811" s="87">
        <f>'2007-08'!$V$35</f>
        <v>184.78288386532901</v>
      </c>
      <c r="R811" s="87">
        <f>'2008-09'!$V$35</f>
        <v>199.58991320888421</v>
      </c>
      <c r="S811" s="87">
        <f>'2009-10'!$V$35</f>
        <v>205.08427187059277</v>
      </c>
      <c r="T811" s="87">
        <f>'2010-11'!$V$35</f>
        <v>204.77185620886385</v>
      </c>
      <c r="U811" s="87">
        <f>'2011-12'!$V$35</f>
        <v>202.08628154291691</v>
      </c>
      <c r="V811" s="87">
        <f>'2012-13'!$V$35</f>
        <v>207.94832484172468</v>
      </c>
      <c r="W811" s="87">
        <f>'2013-14'!$V$35</f>
        <v>201.62917686448893</v>
      </c>
      <c r="X811" s="87">
        <f>'2014-15'!$V$35</f>
        <v>201.21997499722059</v>
      </c>
    </row>
    <row r="812" spans="1:24">
      <c r="N812" t="s">
        <v>160</v>
      </c>
      <c r="O812" s="11">
        <f>MIN('2005-06'!$V$3:$V$34)</f>
        <v>114.35583424194054</v>
      </c>
      <c r="P812" s="11">
        <f>MIN('2006-07'!$V$3:$V$34)</f>
        <v>115.80674615780133</v>
      </c>
      <c r="Q812" s="11">
        <f>MIN('2007-08'!$V$3:$V$34)</f>
        <v>125.7259207375746</v>
      </c>
      <c r="R812" s="11">
        <f>MIN('2008-09'!$V$3:$V$34)</f>
        <v>127.63015402767557</v>
      </c>
      <c r="S812" s="11">
        <f>MIN('2009-10'!$V$3:$V$34)</f>
        <v>135.8155803857403</v>
      </c>
      <c r="T812" s="11">
        <f>MIN('2010-11'!$V$3:$V$34)</f>
        <v>137.74937734962151</v>
      </c>
      <c r="U812" s="11">
        <f>MIN('2011-12'!$V$3:$V$34)</f>
        <v>120.36373167784988</v>
      </c>
      <c r="V812" s="11">
        <f>MIN('2012-13'!$V$3:$V$34)</f>
        <v>124.3220354253383</v>
      </c>
      <c r="W812" s="11">
        <f>MIN('2013-14'!$V$3:$V$34)</f>
        <v>127.36730188330478</v>
      </c>
      <c r="X812" s="11">
        <f>MIN('2014-15'!$V$3:$V$34)</f>
        <v>135.57537313432837</v>
      </c>
    </row>
    <row r="813" spans="1:24">
      <c r="N813" t="s">
        <v>161</v>
      </c>
      <c r="O813" s="11">
        <f>MAX('2005-06'!$V$3:$V$34)</f>
        <v>260.04125337351007</v>
      </c>
      <c r="P813" s="11">
        <f>MAX('2006-07'!$V$3:$V$34)</f>
        <v>282.5596496367171</v>
      </c>
      <c r="Q813" s="11">
        <f>MAX('2007-08'!$V$3:$V$34)</f>
        <v>295.7516247066855</v>
      </c>
      <c r="R813" s="11">
        <f>MAX('2008-09'!$V$3:$V$34)</f>
        <v>339.21353412579413</v>
      </c>
      <c r="S813" s="11">
        <f>MAX('2009-10'!$V$3:$V$34)</f>
        <v>381.04108170479014</v>
      </c>
      <c r="T813" s="11">
        <f>MAX('2010-11'!$V$3:$V$34)</f>
        <v>415.20552950755769</v>
      </c>
      <c r="U813" s="11">
        <f>MAX('2011-12'!$V$3:$V$34)</f>
        <v>445.54132255205076</v>
      </c>
      <c r="V813" s="11">
        <f>MAX('2012-13'!$V$3:$V$34)</f>
        <v>408.42593895062595</v>
      </c>
      <c r="W813" s="11">
        <f>MAX('2013-14'!$V$3:$V$34)</f>
        <v>434.75878795104114</v>
      </c>
      <c r="X813" s="11">
        <f>MAX('2014-15'!$V$3:$V$34)</f>
        <v>410.50574989378276</v>
      </c>
    </row>
    <row r="820" spans="1:15">
      <c r="O820" s="50"/>
    </row>
    <row r="821" spans="1:15">
      <c r="A821" s="346" t="str">
        <f>"- Per head of population aged 18 to 64 in 2014/15:"</f>
        <v>- Per head of population aged 18 to 64 in 2014/15:</v>
      </c>
      <c r="O821" s="50"/>
    </row>
    <row r="822" spans="1:15">
      <c r="A822" s="346" t="str">
        <f>"      - The spend per head in " &amp;$C$5 &amp; " has moved from £"&amp;ROUND(O810,0)&amp;" to £"&amp;ROUND(X810,0) &amp; " (real terms)"</f>
        <v xml:space="preserve">      - The spend per head in Aberdeen City has moved from £206 to £194 (real terms)</v>
      </c>
      <c r="O822" s="50"/>
    </row>
    <row r="823" spans="1:15">
      <c r="A823" s="346" t="str">
        <f>"      - The average spend per head across Scotland has moved from £"&amp;ROUND(O811,0)&amp;" to £"&amp;ROUND(X811,0)</f>
        <v xml:space="preserve">      - The average spend per head across Scotland has moved from £176 to £201</v>
      </c>
      <c r="O823" s="50"/>
    </row>
    <row r="824" spans="1:15" ht="25.5" customHeight="1">
      <c r="A824" s="294"/>
      <c r="B824" s="294"/>
      <c r="C824" s="294"/>
      <c r="D824" s="294"/>
      <c r="E824" s="294"/>
      <c r="F824" s="294"/>
      <c r="G824" s="294"/>
      <c r="H824" s="294"/>
      <c r="I824" s="294"/>
      <c r="J824" s="294"/>
      <c r="K824" s="294"/>
      <c r="L824" s="383"/>
      <c r="M824" s="13"/>
      <c r="N824" s="13"/>
      <c r="O824" s="198"/>
    </row>
    <row r="825" spans="1:15">
      <c r="A825" s="683" t="s">
        <v>6</v>
      </c>
      <c r="B825" s="684"/>
      <c r="C825" s="684"/>
      <c r="D825" s="684"/>
      <c r="E825" s="684"/>
      <c r="F825" s="684"/>
      <c r="G825" s="684"/>
      <c r="H825" s="684"/>
      <c r="I825" s="385"/>
      <c r="J825" s="452"/>
      <c r="K825" s="575"/>
      <c r="L825" s="383"/>
      <c r="M825" s="13"/>
      <c r="N825" s="13"/>
      <c r="O825" s="198"/>
    </row>
    <row r="826" spans="1:15" ht="34.5" customHeight="1">
      <c r="A826" s="681" t="s">
        <v>201</v>
      </c>
      <c r="B826" s="682"/>
      <c r="C826" s="682"/>
      <c r="D826" s="682"/>
      <c r="E826" s="682"/>
      <c r="F826" s="682"/>
      <c r="G826" s="682"/>
      <c r="H826" s="682"/>
      <c r="I826" s="386"/>
      <c r="J826" s="451"/>
      <c r="K826" s="574"/>
      <c r="L826" s="383"/>
      <c r="M826" s="13"/>
      <c r="N826" s="13"/>
      <c r="O826" s="198"/>
    </row>
    <row r="827" spans="1:15">
      <c r="O827" s="50"/>
    </row>
    <row r="828" spans="1:15">
      <c r="A828" s="661" t="str">
        <f>"Figure " &amp; $L$828 &amp; " - Learning disability per head spend across Scotland"</f>
        <v>Figure 34 - Learning disability per head spend across Scotland</v>
      </c>
      <c r="B828" s="661"/>
      <c r="C828" s="661"/>
      <c r="D828" s="661"/>
      <c r="E828" s="661"/>
      <c r="F828" s="661"/>
      <c r="G828" s="661"/>
      <c r="H828" s="661"/>
      <c r="I828" s="384"/>
      <c r="J828" s="448"/>
      <c r="K828" s="571"/>
      <c r="L828" s="320">
        <f>$L$803+1</f>
        <v>34</v>
      </c>
    </row>
    <row r="846" spans="1:1">
      <c r="A846" s="346"/>
    </row>
    <row r="847" spans="1:1">
      <c r="A847" s="346"/>
    </row>
    <row r="848" spans="1:1">
      <c r="A848" s="346"/>
    </row>
    <row r="849" spans="1:25">
      <c r="A849" s="346" t="str">
        <f>"- This spend equates to £"&amp;ROUND('Per Capita Data - LD'!D36,0)&amp;" per head of population in " &amp; $C$5 &amp;" in 2014/15"</f>
        <v>- This spend equates to £200 per head of population in Aberdeen City in 2014/15</v>
      </c>
    </row>
    <row r="850" spans="1:25">
      <c r="A850" s="346" t="str">
        <f>"- The average spend nationally in 2014/15 was £"&amp;ROUND('Per Capita Data - LD'!D39,0) &amp; " (represented by the horizontal line)"</f>
        <v>- The average spend nationally in 2014/15 was £48 (represented by the horizontal line)</v>
      </c>
    </row>
    <row r="851" spans="1:25">
      <c r="A851" s="284" t="str">
        <f>"- The range of spend per head in 2014/15 was £"&amp;ROUND('Per Capita Data - LD'!D37,0)&amp;" to £"&amp;ROUND('Per Capita Data - LD'!D38,0)</f>
        <v>- The range of spend per head in 2014/15 was £140 to £425</v>
      </c>
    </row>
    <row r="853" spans="1:25" ht="18.75">
      <c r="A853" s="625" t="s">
        <v>149</v>
      </c>
      <c r="B853" s="625"/>
      <c r="C853" s="625"/>
      <c r="D853" s="625"/>
      <c r="E853" s="625"/>
      <c r="F853" s="625"/>
      <c r="G853" s="625"/>
      <c r="H853" s="625"/>
      <c r="I853" s="349"/>
      <c r="J853" s="449"/>
      <c r="K853" s="572"/>
    </row>
    <row r="855" spans="1:25" ht="30" customHeight="1">
      <c r="A855" s="661" t="str">
        <f>"Figure " &amp; $L$855 &amp; " - " &amp; $C$5 &amp; " and Scotland's movement in mental health social work expenditure"</f>
        <v>Figure 35 - Aberdeen City and Scotland's movement in mental health social work expenditure</v>
      </c>
      <c r="B855" s="661"/>
      <c r="C855" s="661"/>
      <c r="D855" s="661"/>
      <c r="E855" s="661"/>
      <c r="F855" s="661"/>
      <c r="G855" s="661"/>
      <c r="H855" s="661"/>
      <c r="I855" s="384"/>
      <c r="J855" s="448"/>
      <c r="K855" s="571"/>
      <c r="L855" s="320">
        <f>$L$828+1</f>
        <v>35</v>
      </c>
      <c r="P855" t="s">
        <v>321</v>
      </c>
      <c r="Q855" t="s">
        <v>0</v>
      </c>
      <c r="R855" t="s">
        <v>1</v>
      </c>
      <c r="S855" t="s">
        <v>28</v>
      </c>
      <c r="T855" t="s">
        <v>65</v>
      </c>
      <c r="U855" t="s">
        <v>267</v>
      </c>
      <c r="V855" t="s">
        <v>315</v>
      </c>
      <c r="W855" t="s">
        <v>322</v>
      </c>
      <c r="X855" t="s">
        <v>369</v>
      </c>
      <c r="Y855" s="421" t="s">
        <v>382</v>
      </c>
    </row>
    <row r="856" spans="1:25">
      <c r="O856" t="str">
        <f>C5</f>
        <v>Aberdeen City</v>
      </c>
      <c r="P856" s="18">
        <f>('LFR Data'!$L2)/('LFR Data'!$L$2)-1</f>
        <v>0</v>
      </c>
      <c r="Q856" s="18">
        <f>('LFR Data'!$L3)/('LFR Data'!$L$2)-1</f>
        <v>2.8640992511600016E-2</v>
      </c>
      <c r="R856" s="18">
        <f>('LFR Data'!$L4)/('LFR Data'!$L$2)-1</f>
        <v>3.1240677717858212E-2</v>
      </c>
      <c r="S856" s="18">
        <f>('LFR Data'!$L5)/('LFR Data'!$L$2)-1</f>
        <v>2.2635931628300909E-4</v>
      </c>
      <c r="T856" s="18">
        <f>('LFR Data'!$L6)/('LFR Data'!$L$2)-1</f>
        <v>-0.10504036894207791</v>
      </c>
      <c r="U856" s="18">
        <f>('LFR Data'!$L7)/('LFR Data'!$L$2)-1</f>
        <v>-5.0758688255729711E-2</v>
      </c>
      <c r="V856" s="18">
        <f>('LFR Data'!$L8)/('LFR Data'!$L$2)-1</f>
        <v>-0.11904315698543311</v>
      </c>
      <c r="W856" s="18">
        <f>('LFR Data'!$L9)/('LFR Data'!$L$2)-1</f>
        <v>-0.17066904831551843</v>
      </c>
      <c r="X856" s="18">
        <f>('LFR Data'!$L10)/('LFR Data'!$L$2)-1</f>
        <v>-0.21396454526197195</v>
      </c>
      <c r="Y856" s="18">
        <f>('LFR Data'!$L11)/('LFR Data'!$L$2)-1</f>
        <v>-0.17407353698848738</v>
      </c>
    </row>
    <row r="857" spans="1:25">
      <c r="O857" t="s">
        <v>5</v>
      </c>
      <c r="P857" s="18">
        <f>('LFR Data'!$L14)/('LFR Data'!$L$14)-1</f>
        <v>0</v>
      </c>
      <c r="Q857" s="18">
        <f>('LFR Data'!$L15)/('LFR Data'!$L$14)-1</f>
        <v>-0.14095755000642596</v>
      </c>
      <c r="R857" s="18">
        <f>('LFR Data'!$L16)/('LFR Data'!$L$14)-1</f>
        <v>-9.1685981601671185E-2</v>
      </c>
      <c r="S857" s="18">
        <f>('LFR Data'!$L17)/('LFR Data'!$L$14)-1</f>
        <v>-8.962093174353325E-2</v>
      </c>
      <c r="T857" s="18">
        <f>('LFR Data'!$L18)/('LFR Data'!$L$14)-1</f>
        <v>-8.3872979675720272E-2</v>
      </c>
      <c r="U857" s="18">
        <f>('LFR Data'!$L19)/('LFR Data'!$L$14)-1</f>
        <v>-8.0048350493900466E-2</v>
      </c>
      <c r="V857" s="18">
        <f>('LFR Data'!$L20)/('LFR Data'!$L$14)-1</f>
        <v>-9.3866200428715074E-2</v>
      </c>
      <c r="W857" s="18">
        <f>('LFR Data'!$L21)/('LFR Data'!$L$14)-1</f>
        <v>-0.10485908452274084</v>
      </c>
      <c r="X857" s="18">
        <f>('LFR Data'!$L22)/('LFR Data'!$L$14)-1</f>
        <v>-0.12418954906011148</v>
      </c>
      <c r="Y857" s="18">
        <f>('LFR Data'!$L23)/('LFR Data'!$L$14)-1</f>
        <v>-0.11828812220354157</v>
      </c>
    </row>
    <row r="867" spans="1:13">
      <c r="M867" s="16"/>
    </row>
    <row r="868" spans="1:13">
      <c r="M868" s="16"/>
    </row>
    <row r="869" spans="1:13">
      <c r="M869" s="16"/>
    </row>
    <row r="871" spans="1:13" ht="25.5" customHeight="1"/>
    <row r="872" spans="1:13" ht="13.5" customHeight="1">
      <c r="A872" s="346" t="str">
        <f>"- Over the period, spend has moved from £"&amp;ROUND('LFR Data'!$L$2,-2)/1000&amp;" million to £"&amp;ROUND('LFR Data'!$L$11,-2)/1000&amp;" million (in real terms)"</f>
        <v>- Over the period, spend has moved from £10.4 million to £8.6 million (in real terms)</v>
      </c>
    </row>
    <row r="873" spans="1:13" ht="13.5" customHeight="1">
      <c r="A873" s="346" t="str">
        <f>"- This represents a move of "&amp;ROUND('LFR Data'!$L$12*100,0)&amp;"%"</f>
        <v>- This represents a move of -17%</v>
      </c>
    </row>
    <row r="874" spans="1:13" ht="13.5" customHeight="1">
      <c r="A874" s="346" t="str">
        <f>"- Nationally, spend has moved by "&amp;ROUND('LFR Data'!$L$24*100,0)&amp;"%"</f>
        <v>- Nationally, spend has moved by -12%</v>
      </c>
    </row>
    <row r="875" spans="1:13">
      <c r="A875" s="346"/>
    </row>
    <row r="877" spans="1:13" ht="31.5" customHeight="1">
      <c r="A877" s="661" t="str">
        <f>"Figure " &amp; $L$877 &amp;" - " &amp; $C$5 &amp; " and Scotland's mental health social work expenditure"</f>
        <v>Figure 36 - Aberdeen City and Scotland's mental health social work expenditure</v>
      </c>
      <c r="B877" s="661"/>
      <c r="C877" s="661"/>
      <c r="D877" s="661"/>
      <c r="E877" s="661"/>
      <c r="F877" s="661"/>
      <c r="G877" s="661"/>
      <c r="H877" s="661"/>
      <c r="I877" s="384"/>
      <c r="J877" s="448"/>
      <c r="K877" s="571"/>
      <c r="L877" s="320">
        <f>$L$855+1</f>
        <v>36</v>
      </c>
    </row>
    <row r="886" spans="14:24">
      <c r="O886" t="s">
        <v>4</v>
      </c>
      <c r="P886" t="s">
        <v>0</v>
      </c>
      <c r="Q886" t="s">
        <v>1</v>
      </c>
      <c r="R886" t="s">
        <v>28</v>
      </c>
      <c r="S886" t="s">
        <v>65</v>
      </c>
      <c r="T886" t="s">
        <v>267</v>
      </c>
      <c r="U886" s="426" t="s">
        <v>315</v>
      </c>
      <c r="V886" t="s">
        <v>322</v>
      </c>
      <c r="W886" t="s">
        <v>369</v>
      </c>
      <c r="X886" s="421" t="s">
        <v>382</v>
      </c>
    </row>
    <row r="887" spans="14:24">
      <c r="N887" t="str">
        <f>C5</f>
        <v>Aberdeen City</v>
      </c>
      <c r="O887" s="90">
        <f>VLOOKUP(Cover!$C$5,'2005-06'!$O$2:$AA$34,9)</f>
        <v>76.545915587045357</v>
      </c>
      <c r="P887" s="90">
        <f>VLOOKUP(Cover!$C$5,'2006-07'!$O$2:$AA$34,9)</f>
        <v>77.876564239222773</v>
      </c>
      <c r="Q887" s="90">
        <f>VLOOKUP(Cover!$C$5,'2007-08'!$O$2:$AA$34,9)</f>
        <v>76.86282457617699</v>
      </c>
      <c r="R887" s="90">
        <f>VLOOKUP(Cover!$C$5,'2008-09'!$O$2:$AA$34,9)</f>
        <v>74.04534952916849</v>
      </c>
      <c r="S887" s="90">
        <f>VLOOKUP(Cover!$C$5,'2009-10'!$O$2:$AA$34,9)</f>
        <v>64.807894201103466</v>
      </c>
      <c r="T887" s="90">
        <f>VLOOKUP(Cover!$C$5,'2010-11'!$O$2:$AA$34,9)</f>
        <v>67.372300356778197</v>
      </c>
      <c r="U887" s="90">
        <f>VLOOKUP(Cover!$C$5,'2011-12'!$O$2:$AA$34,9)</f>
        <v>59.614592656133325</v>
      </c>
      <c r="V887" s="90">
        <f>VLOOKUP(Cover!$C$5,'2012-13'!$O$2:$AA$34,9)</f>
        <v>55.795685426992613</v>
      </c>
      <c r="W887" s="90">
        <f>VLOOKUP(Cover!$C$5,'2013-14'!$O$2:$AA$34,9)</f>
        <v>52.010216621545055</v>
      </c>
      <c r="X887" s="90">
        <f>VLOOKUP(Cover!$C$5,'2014-15'!$O$2:$AA$34,9)</f>
        <v>54.649715856661942</v>
      </c>
    </row>
    <row r="888" spans="14:24">
      <c r="N888" t="s">
        <v>5</v>
      </c>
      <c r="O888" s="90">
        <f>'2005-06'!$W$35</f>
        <v>54.586411542006886</v>
      </c>
      <c r="P888" s="90">
        <f>'2006-07'!$W$35</f>
        <v>46.513523487309016</v>
      </c>
      <c r="Q888" s="90">
        <f>'2007-08'!$W$35</f>
        <v>48.841946041276437</v>
      </c>
      <c r="R888" s="90">
        <f>'2008-09'!$W$35</f>
        <v>48.726917307872704</v>
      </c>
      <c r="S888" s="90">
        <f>'2009-10'!$W$35</f>
        <v>48.779535431634926</v>
      </c>
      <c r="T888" s="90">
        <f>'2010-11'!$W$35</f>
        <v>48.665574159637188</v>
      </c>
      <c r="U888" s="90">
        <f>'2011-12'!$W$35</f>
        <v>47.12593873021369</v>
      </c>
      <c r="V888" s="90">
        <f>'2012-13'!$W$35</f>
        <v>46.722308722347535</v>
      </c>
      <c r="W888" s="90">
        <f>'2013-14'!$W$35</f>
        <v>45.759209114452247</v>
      </c>
      <c r="X888" s="90">
        <f>'2014-15'!$W$35</f>
        <v>46.067545952992624</v>
      </c>
    </row>
    <row r="889" spans="14:24">
      <c r="N889" t="s">
        <v>160</v>
      </c>
      <c r="O889" s="90">
        <f>MIN('2005-06'!$W$3:$W$34)</f>
        <v>15.793776601525972</v>
      </c>
      <c r="P889" s="90">
        <f>MIN('2006-07'!$W$3:$W$34)</f>
        <v>18.507233087862119</v>
      </c>
      <c r="Q889" s="90">
        <f>MIN('2007-08'!$W$3:$W$34)</f>
        <v>20.815739363998045</v>
      </c>
      <c r="R889" s="90">
        <f>MIN('2008-09'!$W$3:$W$34)</f>
        <v>28.658018137814704</v>
      </c>
      <c r="S889" s="90">
        <f>MIN('2009-10'!$W$3:$W$34)</f>
        <v>26.907737647763867</v>
      </c>
      <c r="T889" s="90">
        <f>MIN('2010-11'!$W$3:$W$34)</f>
        <v>28.80826363484644</v>
      </c>
      <c r="U889" s="90">
        <f>MIN('2011-12'!$W$3:$W$34)</f>
        <v>25.139246506775621</v>
      </c>
      <c r="V889" s="90">
        <f>MIN('2012-13'!$W$3:$W$34)</f>
        <v>29.192617060440256</v>
      </c>
      <c r="W889" s="90">
        <f>MIN('2013-14'!$W$3:$W$34)</f>
        <v>27.203359599791494</v>
      </c>
      <c r="X889" s="90">
        <f>MIN('2014-15'!$W$3:$W$34)</f>
        <v>30.578607061588858</v>
      </c>
    </row>
    <row r="890" spans="14:24">
      <c r="N890" t="s">
        <v>161</v>
      </c>
      <c r="O890" s="90">
        <f>MAX('2005-06'!$W$3:$W$34)</f>
        <v>143.38356897061681</v>
      </c>
      <c r="P890" s="90">
        <f>MAX('2006-07'!$W$3:$W$34)</f>
        <v>101.99885278903001</v>
      </c>
      <c r="Q890" s="90">
        <f>MAX('2007-08'!$W$3:$W$34)</f>
        <v>92.48927433522816</v>
      </c>
      <c r="R890" s="90">
        <f>MAX('2008-09'!$W$3:$W$34)</f>
        <v>105.91489377304443</v>
      </c>
      <c r="S890" s="90">
        <f>MAX('2009-10'!$W$3:$W$34)</f>
        <v>100.4991441428156</v>
      </c>
      <c r="T890" s="90">
        <f>MAX('2010-11'!$W$3:$W$34)</f>
        <v>126.1965635864923</v>
      </c>
      <c r="U890" s="90">
        <f>MAX('2011-12'!$W$3:$W$34)</f>
        <v>133.69789806621699</v>
      </c>
      <c r="V890" s="90">
        <f>MAX('2012-13'!$W$3:$W$34)</f>
        <v>140.87776058517375</v>
      </c>
      <c r="W890" s="90">
        <f>MAX('2013-14'!$W$3:$W$34)</f>
        <v>111.37703197469646</v>
      </c>
      <c r="X890" s="90">
        <f>MAX('2014-15'!$W$3:$W$34)</f>
        <v>102.21620521172639</v>
      </c>
    </row>
    <row r="897" spans="1:15">
      <c r="A897" s="346" t="str">
        <f>"- Per head of population aged 18 to 64 in 2014/15:"</f>
        <v>- Per head of population aged 18 to 64 in 2014/15:</v>
      </c>
      <c r="O897" s="50"/>
    </row>
    <row r="898" spans="1:15">
      <c r="A898" s="346" t="str">
        <f>"      - The spend per head in " &amp;$C$5 &amp; " has moved from £"&amp;ROUND($O$887,0)&amp;" to £"&amp;ROUND($X$887,0) &amp; " (real terms)"</f>
        <v xml:space="preserve">      - The spend per head in Aberdeen City has moved from £77 to £55 (real terms)</v>
      </c>
      <c r="O898" s="50"/>
    </row>
    <row r="899" spans="1:15">
      <c r="A899" s="346" t="str">
        <f>"      - The average spend per head across Scotland has moved from £"&amp;ROUND($O$888,0)&amp;" to £"&amp;ROUND($X$888,0)</f>
        <v xml:space="preserve">      - The average spend per head across Scotland has moved from £55 to £46</v>
      </c>
      <c r="O899" s="50"/>
    </row>
    <row r="902" spans="1:15">
      <c r="A902" s="293" t="str">
        <f>"Figure " &amp; $L$902 &amp; " - Mental health per head social work expenditure across Scotland"</f>
        <v>Figure 37 - Mental health per head social work expenditure across Scotland</v>
      </c>
      <c r="L902" s="320">
        <f>$L$877+1</f>
        <v>37</v>
      </c>
    </row>
    <row r="922" spans="1:11">
      <c r="A922" s="346" t="str">
        <f>"- This spend equates to £"&amp;ROUND('Per Capita Data - MH'!$D$36,0)&amp;" per head of population in " &amp; $C$5 &amp;" in 2014/15"</f>
        <v>- This spend equates to £57 per head of population in Aberdeen City in 2014/15</v>
      </c>
    </row>
    <row r="923" spans="1:11">
      <c r="A923" s="346" t="str">
        <f>"- The average spend nationally in 2014/15 was £"&amp;ROUND('Per Capita Data - MH'!$D$39,0) &amp; " (represented by the horizontal line)"</f>
        <v>- The average spend nationally in 2014/15 was £28 (represented by the horizontal line)</v>
      </c>
    </row>
    <row r="924" spans="1:11">
      <c r="A924" s="284" t="str">
        <f>"- The range of spend per head in 2014/15 was £"&amp;ROUND('Per Capita Data - MH'!$D$37,0)&amp;" to £"&amp;ROUND('Per Capita Data - MH'!$D$38,0)</f>
        <v>- The range of spend per head in 2014/15 was £32 to £106</v>
      </c>
    </row>
    <row r="927" spans="1:11" ht="18.75">
      <c r="A927" s="680" t="s">
        <v>202</v>
      </c>
      <c r="B927" s="680"/>
      <c r="C927" s="680"/>
      <c r="D927" s="680"/>
      <c r="E927" s="680"/>
      <c r="F927" s="680"/>
      <c r="G927" s="680"/>
      <c r="H927" s="680"/>
      <c r="I927" s="387"/>
      <c r="J927" s="450"/>
      <c r="K927" s="573"/>
    </row>
    <row r="929" spans="1:24" ht="30.75" customHeight="1">
      <c r="A929" s="661" t="str">
        <f>"Figure " &amp; $L$929 &amp; " - " &amp; $C$5 &amp; " and Scotland's movement in addictions/substance misuse social work expenditure"</f>
        <v>Figure 38 - Aberdeen City and Scotland's movement in addictions/substance misuse social work expenditure</v>
      </c>
      <c r="B929" s="661"/>
      <c r="C929" s="661"/>
      <c r="D929" s="661"/>
      <c r="E929" s="661"/>
      <c r="F929" s="661"/>
      <c r="G929" s="661"/>
      <c r="H929" s="661"/>
      <c r="I929" s="384"/>
      <c r="J929" s="448"/>
      <c r="K929" s="571"/>
      <c r="L929" s="320">
        <f>$L$902+1</f>
        <v>38</v>
      </c>
    </row>
    <row r="931" spans="1:24">
      <c r="O931" t="s">
        <v>321</v>
      </c>
      <c r="P931" t="s">
        <v>0</v>
      </c>
      <c r="Q931" t="s">
        <v>1</v>
      </c>
      <c r="R931" t="s">
        <v>28</v>
      </c>
      <c r="S931" t="s">
        <v>65</v>
      </c>
      <c r="T931" t="s">
        <v>267</v>
      </c>
      <c r="U931" t="s">
        <v>315</v>
      </c>
      <c r="V931" t="s">
        <v>322</v>
      </c>
      <c r="W931" t="s">
        <v>369</v>
      </c>
      <c r="X931" s="421" t="s">
        <v>382</v>
      </c>
    </row>
    <row r="932" spans="1:24">
      <c r="N932" t="str">
        <f>$C$5</f>
        <v>Aberdeen City</v>
      </c>
      <c r="O932" s="18">
        <f>('LFR Data'!$M2)/('LFR Data'!$M$2)-1</f>
        <v>0</v>
      </c>
      <c r="P932" s="18">
        <f>('LFR Data'!$M3)/('LFR Data'!$M$2)-1</f>
        <v>5.5988188572579922E-3</v>
      </c>
      <c r="Q932" s="18">
        <f>('LFR Data'!$M4)/('LFR Data'!$M$2)-1</f>
        <v>-5.9719881011518039E-2</v>
      </c>
      <c r="R932" s="18">
        <f>('LFR Data'!$M5)/('LFR Data'!$M$2)-1</f>
        <v>-0.23757189591130512</v>
      </c>
      <c r="S932" s="18">
        <f>('LFR Data'!$M6)/('LFR Data'!$M$2)-1</f>
        <v>-0.33035480978431908</v>
      </c>
      <c r="T932" s="18">
        <f>('LFR Data'!$M7)/('LFR Data'!$M$2)-1</f>
        <v>-0.36120958495227551</v>
      </c>
      <c r="U932" s="18">
        <f>('LFR Data'!$M8)/('LFR Data'!$M$2)-1</f>
        <v>-0.35265445734517165</v>
      </c>
      <c r="V932" s="18">
        <f>('LFR Data'!$M9)/('LFR Data'!$M$2)-1</f>
        <v>-0.34068270374929499</v>
      </c>
      <c r="W932" s="18">
        <f>('LFR Data'!$M10)/('LFR Data'!$M$2)-1</f>
        <v>-0.27140234615117753</v>
      </c>
      <c r="X932" s="18">
        <f>('LFR Data'!$M11)/('LFR Data'!$M$2)-1</f>
        <v>-0.27951107630789751</v>
      </c>
    </row>
    <row r="933" spans="1:24">
      <c r="N933" t="s">
        <v>5</v>
      </c>
      <c r="O933" s="18">
        <f>('LFR Data'!$M14)/('LFR Data'!$M$14)-1</f>
        <v>0</v>
      </c>
      <c r="P933" s="18">
        <f>('LFR Data'!$M15)/('LFR Data'!$M$14)-1</f>
        <v>0.10277068515357279</v>
      </c>
      <c r="Q933" s="18">
        <f>('LFR Data'!$M16)/('LFR Data'!$M$14)-1</f>
        <v>0.20178866192537437</v>
      </c>
      <c r="R933" s="18">
        <f>('LFR Data'!$M17)/('LFR Data'!$M$14)-1</f>
        <v>0.25676232854006664</v>
      </c>
      <c r="S933" s="18">
        <f>('LFR Data'!$M18)/('LFR Data'!$M$14)-1</f>
        <v>0.28789763557576942</v>
      </c>
      <c r="T933" s="18">
        <f>('LFR Data'!$M19)/('LFR Data'!$M$14)-1</f>
        <v>0.39271484331465789</v>
      </c>
      <c r="U933" s="18">
        <f>('LFR Data'!$M20)/('LFR Data'!$M$14)-1</f>
        <v>0.38401742894955393</v>
      </c>
      <c r="V933" s="18">
        <f>('LFR Data'!$M21)/('LFR Data'!$M$14)-1</f>
        <v>0.42777540502321898</v>
      </c>
      <c r="W933" s="18">
        <f>('LFR Data'!$M22)/('LFR Data'!$M$14)-1</f>
        <v>0.53330767593763073</v>
      </c>
      <c r="X933" s="18">
        <f>('LFR Data'!$M23)/('LFR Data'!$M$14)-1</f>
        <v>0.5569514619694893</v>
      </c>
    </row>
    <row r="934" spans="1:24">
      <c r="A934" s="346"/>
    </row>
    <row r="935" spans="1:24">
      <c r="A935" s="346"/>
    </row>
    <row r="936" spans="1:24">
      <c r="A936" s="346"/>
    </row>
    <row r="937" spans="1:24">
      <c r="A937" s="346"/>
    </row>
    <row r="938" spans="1:24">
      <c r="A938" s="346"/>
    </row>
    <row r="939" spans="1:24">
      <c r="A939" s="346"/>
    </row>
    <row r="940" spans="1:24">
      <c r="A940" s="346"/>
    </row>
    <row r="941" spans="1:24">
      <c r="A941" s="346"/>
    </row>
    <row r="942" spans="1:24">
      <c r="A942" s="346"/>
    </row>
    <row r="943" spans="1:24">
      <c r="A943" s="346"/>
    </row>
    <row r="944" spans="1:24">
      <c r="A944" s="346"/>
    </row>
    <row r="945" spans="1:24" ht="33" customHeight="1"/>
    <row r="946" spans="1:24" ht="13.5" customHeight="1">
      <c r="A946" s="346" t="str">
        <f>"- Over the period, spend has moved from £"&amp;ROUND('LFR Data'!$M$2,-2)/1000&amp;" million to £"&amp;ROUND('LFR Data'!$M$11,-2)/1000&amp;" million (in real terms)"</f>
        <v>- Over the period, spend has moved from £3.6 million to £2.6 million (in real terms)</v>
      </c>
    </row>
    <row r="947" spans="1:24" ht="13.5" customHeight="1">
      <c r="A947" s="346" t="str">
        <f>"- This represents a move of "&amp;ROUND('LFR Data'!$M$12*100,0)&amp;"%"</f>
        <v>- This represents a move of -28%</v>
      </c>
    </row>
    <row r="948" spans="1:24" ht="13.5" customHeight="1">
      <c r="A948" s="346" t="str">
        <f>"- Nationally, spend has moved by "&amp;ROUND('LFR Data'!$M$24*100,0)&amp;"%"</f>
        <v>- Nationally, spend has moved by 56%</v>
      </c>
    </row>
    <row r="949" spans="1:24" ht="13.5" customHeight="1">
      <c r="A949" s="346"/>
    </row>
    <row r="950" spans="1:24" ht="13.5" customHeight="1">
      <c r="A950" s="346"/>
    </row>
    <row r="951" spans="1:24" ht="14.25" customHeight="1">
      <c r="A951" s="293" t="str">
        <f>"Figure "&amp; $L$951 &amp; " - " &amp; $C$5 &amp; " and Scotland's addiction services per head spend"</f>
        <v>Figure 39 - Aberdeen City and Scotland's addiction services per head spend</v>
      </c>
      <c r="L951" s="320">
        <f>$L$929+1</f>
        <v>39</v>
      </c>
    </row>
    <row r="959" spans="1:24">
      <c r="O959" t="s">
        <v>4</v>
      </c>
      <c r="P959" t="s">
        <v>0</v>
      </c>
      <c r="Q959" t="s">
        <v>1</v>
      </c>
      <c r="R959" t="s">
        <v>28</v>
      </c>
      <c r="S959" t="s">
        <v>65</v>
      </c>
      <c r="T959" t="s">
        <v>267</v>
      </c>
      <c r="U959" s="426" t="s">
        <v>315</v>
      </c>
      <c r="V959" t="s">
        <v>322</v>
      </c>
      <c r="W959" t="s">
        <v>369</v>
      </c>
      <c r="X959" s="421" t="s">
        <v>382</v>
      </c>
    </row>
    <row r="960" spans="1:24">
      <c r="N960" t="str">
        <f>$C$5</f>
        <v>Aberdeen City</v>
      </c>
      <c r="O960" s="90">
        <f>VLOOKUP(Cover!$C$5,'2005-06'!$O$2:$AA$34,10)</f>
        <v>26.184234888490035</v>
      </c>
      <c r="P960" s="90">
        <f>VLOOKUP(Cover!$C$5,'2006-07'!$O$2:$AA$34,10)</f>
        <v>26.042674103031441</v>
      </c>
      <c r="Q960" s="90">
        <f>VLOOKUP(Cover!$C$5,'2007-08'!$O$2:$AA$34,10)</f>
        <v>23.9734989387909</v>
      </c>
      <c r="R960" s="90">
        <f>VLOOKUP(Cover!$C$5,'2008-09'!$O$2:$AA$34,10)</f>
        <v>19.307064822713571</v>
      </c>
      <c r="S960" s="90">
        <f>VLOOKUP(Cover!$C$5,'2009-10'!$O$2:$AA$34,10)</f>
        <v>16.587734825282435</v>
      </c>
      <c r="T960" s="90">
        <f>VLOOKUP(Cover!$C$5,'2010-11'!$O$2:$AA$34,10)</f>
        <v>15.508900239296068</v>
      </c>
      <c r="U960" s="90">
        <f>VLOOKUP(Cover!$C$5,'2011-12'!$O$2:$AA$35,10)</f>
        <v>14.984835352475537</v>
      </c>
      <c r="V960" s="90">
        <f>VLOOKUP(Cover!$C$5,'2012-13'!$O$2:$AA$35,10)</f>
        <v>15.173475858320501</v>
      </c>
      <c r="W960" s="90">
        <f>VLOOKUP(Cover!$C$5,'2013-14'!$O$2:$AA$35,10)</f>
        <v>16.491196306843406</v>
      </c>
      <c r="X960" s="90">
        <f>VLOOKUP(Cover!$C$5,'2014-15'!$O$2:$AA$35,10)</f>
        <v>16.307662006249245</v>
      </c>
    </row>
    <row r="961" spans="1:24">
      <c r="N961" t="s">
        <v>5</v>
      </c>
      <c r="O961" s="90">
        <f>'2005-06'!$X$35</f>
        <v>13.802767064195264</v>
      </c>
      <c r="P961" s="90">
        <f>'2006-07'!$X$35</f>
        <v>15.098417861587466</v>
      </c>
      <c r="Q961" s="90">
        <f>'2007-08'!$X$35</f>
        <v>16.340549570013444</v>
      </c>
      <c r="R961" s="90">
        <f>'2008-09'!$X$35</f>
        <v>17.009104173402733</v>
      </c>
      <c r="S961" s="90">
        <f>'2009-10'!$X$35</f>
        <v>17.339833661116355</v>
      </c>
      <c r="T961" s="90">
        <f>'2010-11'!$X$35</f>
        <v>18.629477186341571</v>
      </c>
      <c r="U961" s="90">
        <f>'2011-12'!$X$35</f>
        <v>18.20081590641713</v>
      </c>
      <c r="V961" s="90">
        <f>'2012-13'!$X$35</f>
        <v>18.844056446183405</v>
      </c>
      <c r="W961" s="90">
        <f>'2013-14'!$X$35</f>
        <v>20.257195056845955</v>
      </c>
      <c r="X961" s="90">
        <f>'2014-15'!$X$35</f>
        <v>20.569563404729426</v>
      </c>
    </row>
    <row r="962" spans="1:24">
      <c r="N962" t="s">
        <v>160</v>
      </c>
      <c r="O962" s="149">
        <f>MIN('2005-06'!$X$3:$X$34)</f>
        <v>2.2291587147342078</v>
      </c>
      <c r="P962" s="149">
        <f>MIN('2006-07'!$X$3:$X$34)</f>
        <v>2.971798245259655</v>
      </c>
      <c r="Q962" s="149">
        <f>MIN('2007-08'!$X$3:$X$34)</f>
        <v>1.5831234909194931</v>
      </c>
      <c r="R962" s="149">
        <f>MIN('2008-09'!$X$3:$X$34)</f>
        <v>2.2487752815719375</v>
      </c>
      <c r="S962" s="149">
        <f>MIN('2009-10'!$X$3:$X$34)</f>
        <v>3.0033897960066409</v>
      </c>
      <c r="T962" s="149">
        <f>MIN('2010-11'!$X$3:$X$34)</f>
        <v>3.3931410626913108</v>
      </c>
      <c r="U962" s="149">
        <f>MIN('2011-12'!$X$3:$X$34)</f>
        <v>3.8427143640030139</v>
      </c>
      <c r="V962" s="149">
        <f>MIN('2012-13'!$X$3:$X$34)</f>
        <v>3.5510267098965569</v>
      </c>
      <c r="W962" s="149">
        <f>MIN('2013-14'!$X$3:$X$34)</f>
        <v>3.4683484331109016</v>
      </c>
      <c r="X962" s="149">
        <f>MIN('2014-15'!$X$3:$X$34)</f>
        <v>3.2355487102717642</v>
      </c>
    </row>
    <row r="963" spans="1:24">
      <c r="N963" t="s">
        <v>161</v>
      </c>
      <c r="O963" s="149">
        <f>MAX('2005-06'!$X$3:$X$34)</f>
        <v>36.971749488087184</v>
      </c>
      <c r="P963" s="149">
        <f>MAX('2006-07'!$X$3:$X$34)</f>
        <v>41.993846855088705</v>
      </c>
      <c r="Q963" s="149">
        <f>MAX('2007-08'!$X$3:$X$34)</f>
        <v>49.943851350053833</v>
      </c>
      <c r="R963" s="149">
        <f>MAX('2008-09'!$X$3:$X$34)</f>
        <v>55.056314302410712</v>
      </c>
      <c r="S963" s="149">
        <f>MAX('2009-10'!$X$3:$X$34)</f>
        <v>54.418320632050381</v>
      </c>
      <c r="T963" s="149">
        <f>MAX('2010-11'!$X$3:$X$34)</f>
        <v>61.690354273920043</v>
      </c>
      <c r="U963" s="149">
        <f>MAX('2011-12'!$X$3:$X$34)</f>
        <v>59.279820069655962</v>
      </c>
      <c r="V963" s="149">
        <f>MAX('2012-13'!$X$3:$X$34)</f>
        <v>60.089241447694597</v>
      </c>
      <c r="W963" s="149">
        <f>MAX('2013-14'!$X$3:$X$34)</f>
        <v>63.688789802457165</v>
      </c>
      <c r="X963" s="149">
        <f>MAX('2014-15'!$X$3:$X$34)</f>
        <v>59.849856588451871</v>
      </c>
    </row>
    <row r="971" spans="1:24">
      <c r="A971" s="346" t="str">
        <f>"- Per head of population aged 18 to 64 in 2014/15:"</f>
        <v>- Per head of population aged 18 to 64 in 2014/15:</v>
      </c>
      <c r="O971" s="50"/>
    </row>
    <row r="972" spans="1:24">
      <c r="A972" s="346" t="str">
        <f>"      - The spend per head in " &amp;$C$5 &amp; " has moved from £"&amp;ROUND($O$960,0)&amp;" to £"&amp;ROUND($X$960,0) &amp; " (real terms)"</f>
        <v xml:space="preserve">      - The spend per head in Aberdeen City has moved from £26 to £16 (real terms)</v>
      </c>
      <c r="O972" s="50"/>
    </row>
    <row r="973" spans="1:24">
      <c r="A973" s="346" t="str">
        <f>"      - The average spend per head across Scotland has moved from £"&amp;ROUND($O$961,0)&amp;" to £"&amp;ROUND($X$961,0)</f>
        <v xml:space="preserve">      - The average spend per head across Scotland has moved from £14 to £21</v>
      </c>
      <c r="O973" s="50"/>
    </row>
    <row r="974" spans="1:24">
      <c r="A974" s="346"/>
    </row>
    <row r="975" spans="1:24">
      <c r="A975" s="293" t="str">
        <f>"Figure " &amp; $L$975 &amp;" - " &amp; "Addiction services per head spend across Scotland"</f>
        <v>Figure 40 - Addiction services per head spend across Scotland</v>
      </c>
      <c r="L975" s="320">
        <f>$L$951+1</f>
        <v>40</v>
      </c>
    </row>
    <row r="980" ht="13.5" customHeight="1"/>
    <row r="997" spans="1:1">
      <c r="A997" s="346" t="str">
        <f>"- This spend equates to £"&amp;ROUND('Per Capita Data - Other needs'!$D$36,0)&amp;" per head of population in " &amp; $C$5 &amp;" in 2014/15"</f>
        <v>- This spend equates to £17 per head of population in Aberdeen City in 2014/15</v>
      </c>
    </row>
    <row r="998" spans="1:1">
      <c r="A998" s="346" t="str">
        <f>"- The average spend nationally in 2014/15 was £"&amp;ROUND('Per Capita Data - Other needs'!$D$39,0) &amp; " (represented by the horizontal line)"</f>
        <v>- The average spend nationally in 2014/15 was £21 (represented by the horizontal line)</v>
      </c>
    </row>
    <row r="999" spans="1:1">
      <c r="A999" s="284" t="str">
        <f>"- The range of spend per head in 2014/15 was £"&amp;ROUND('Per Capita Data - Other needs'!$D$37,0)&amp;" to £"&amp;ROUND('Per Capita Data - Other needs'!$D$38,0)</f>
        <v>- The range of spend per head in 2014/15 was £3 to £62</v>
      </c>
    </row>
    <row r="1002" spans="1:1">
      <c r="A1002" s="351" t="s">
        <v>394</v>
      </c>
    </row>
    <row r="1003" spans="1:1">
      <c r="A1003" s="85" t="s">
        <v>393</v>
      </c>
    </row>
    <row r="1004" spans="1:1">
      <c r="A1004" s="775" t="s">
        <v>395</v>
      </c>
    </row>
    <row r="1005" spans="1:1">
      <c r="A1005" s="351" t="s">
        <v>396</v>
      </c>
    </row>
  </sheetData>
  <sheetProtection selectLockedCells="1"/>
  <mergeCells count="207">
    <mergeCell ref="A25:K25"/>
    <mergeCell ref="A68:I68"/>
    <mergeCell ref="M468:N468"/>
    <mergeCell ref="A719:H719"/>
    <mergeCell ref="M810:N810"/>
    <mergeCell ref="M811:N811"/>
    <mergeCell ref="M786:N786"/>
    <mergeCell ref="M493:N493"/>
    <mergeCell ref="M785:N785"/>
    <mergeCell ref="A745:I745"/>
    <mergeCell ref="A749:I749"/>
    <mergeCell ref="M492:N492"/>
    <mergeCell ref="A776:I776"/>
    <mergeCell ref="A714:I714"/>
    <mergeCell ref="A715:I715"/>
    <mergeCell ref="A716:I716"/>
    <mergeCell ref="A743:I743"/>
    <mergeCell ref="A744:I744"/>
    <mergeCell ref="A741:I741"/>
    <mergeCell ref="A747:I747"/>
    <mergeCell ref="A748:I748"/>
    <mergeCell ref="A690:I690"/>
    <mergeCell ref="A691:I691"/>
    <mergeCell ref="A692:I692"/>
    <mergeCell ref="A670:I670"/>
    <mergeCell ref="A671:I671"/>
    <mergeCell ref="A929:H929"/>
    <mergeCell ref="A853:H853"/>
    <mergeCell ref="A927:H927"/>
    <mergeCell ref="A751:H751"/>
    <mergeCell ref="A826:H826"/>
    <mergeCell ref="A825:H825"/>
    <mergeCell ref="A781:H781"/>
    <mergeCell ref="A779:H779"/>
    <mergeCell ref="A877:H877"/>
    <mergeCell ref="A774:I774"/>
    <mergeCell ref="A855:H855"/>
    <mergeCell ref="M467:N467"/>
    <mergeCell ref="N243:R243"/>
    <mergeCell ref="N249:R249"/>
    <mergeCell ref="C5:E5"/>
    <mergeCell ref="A16:I16"/>
    <mergeCell ref="A21:I21"/>
    <mergeCell ref="A23:I23"/>
    <mergeCell ref="A28:I28"/>
    <mergeCell ref="A38:B38"/>
    <mergeCell ref="A66:H66"/>
    <mergeCell ref="A78:B78"/>
    <mergeCell ref="A77:B77"/>
    <mergeCell ref="A67:I67"/>
    <mergeCell ref="A33:B33"/>
    <mergeCell ref="A37:B37"/>
    <mergeCell ref="A36:B36"/>
    <mergeCell ref="A34:B34"/>
    <mergeCell ref="A35:B35"/>
    <mergeCell ref="M177:N177"/>
    <mergeCell ref="A69:I69"/>
    <mergeCell ref="O93:V93"/>
    <mergeCell ref="C74:J74"/>
    <mergeCell ref="A41:I41"/>
    <mergeCell ref="M114:N114"/>
    <mergeCell ref="M51:N51"/>
    <mergeCell ref="A70:H70"/>
    <mergeCell ref="M50:N50"/>
    <mergeCell ref="C94:E94"/>
    <mergeCell ref="A828:H828"/>
    <mergeCell ref="A626:H626"/>
    <mergeCell ref="A649:H649"/>
    <mergeCell ref="A672:H672"/>
    <mergeCell ref="A717:H717"/>
    <mergeCell ref="A803:H803"/>
    <mergeCell ref="A777:I777"/>
    <mergeCell ref="A746:I746"/>
    <mergeCell ref="A421:B421"/>
    <mergeCell ref="A422:B422"/>
    <mergeCell ref="A511:H511"/>
    <mergeCell ref="A433:B433"/>
    <mergeCell ref="A426:B426"/>
    <mergeCell ref="A427:B427"/>
    <mergeCell ref="A428:B428"/>
    <mergeCell ref="A429:B429"/>
    <mergeCell ref="A435:B435"/>
    <mergeCell ref="A424:B424"/>
    <mergeCell ref="A559:H559"/>
    <mergeCell ref="A533:H533"/>
    <mergeCell ref="A536:H536"/>
    <mergeCell ref="A425:B425"/>
    <mergeCell ref="A434:B434"/>
    <mergeCell ref="A430:B430"/>
    <mergeCell ref="M2:P7"/>
    <mergeCell ref="A306:H306"/>
    <mergeCell ref="A402:B402"/>
    <mergeCell ref="A400:H400"/>
    <mergeCell ref="A72:H72"/>
    <mergeCell ref="A304:I304"/>
    <mergeCell ref="A305:I305"/>
    <mergeCell ref="A214:H214"/>
    <mergeCell ref="A80:B80"/>
    <mergeCell ref="A168:H168"/>
    <mergeCell ref="A398:H398"/>
    <mergeCell ref="A243:H243"/>
    <mergeCell ref="A325:I325"/>
    <mergeCell ref="A326:I326"/>
    <mergeCell ref="A327:I327"/>
    <mergeCell ref="A303:I303"/>
    <mergeCell ref="A100:B100"/>
    <mergeCell ref="A101:B101"/>
    <mergeCell ref="A86:B86"/>
    <mergeCell ref="M95:N95"/>
    <mergeCell ref="A393:I393"/>
    <mergeCell ref="A364:H364"/>
    <mergeCell ref="A394:I394"/>
    <mergeCell ref="A395:I395"/>
    <mergeCell ref="A411:B411"/>
    <mergeCell ref="A280:I280"/>
    <mergeCell ref="A396:I396"/>
    <mergeCell ref="A407:B407"/>
    <mergeCell ref="A409:B409"/>
    <mergeCell ref="A403:B403"/>
    <mergeCell ref="A408:B408"/>
    <mergeCell ref="A390:I390"/>
    <mergeCell ref="A391:I391"/>
    <mergeCell ref="A392:I392"/>
    <mergeCell ref="A404:B404"/>
    <mergeCell ref="A405:B405"/>
    <mergeCell ref="A406:B406"/>
    <mergeCell ref="M225:N225"/>
    <mergeCell ref="M226:N226"/>
    <mergeCell ref="M153:N153"/>
    <mergeCell ref="M154:N154"/>
    <mergeCell ref="M176:N176"/>
    <mergeCell ref="A76:B76"/>
    <mergeCell ref="A83:B83"/>
    <mergeCell ref="A87:B87"/>
    <mergeCell ref="A90:I90"/>
    <mergeCell ref="A85:B85"/>
    <mergeCell ref="M115:N115"/>
    <mergeCell ref="M96:N96"/>
    <mergeCell ref="M97:N97"/>
    <mergeCell ref="M98:N98"/>
    <mergeCell ref="M99:N99"/>
    <mergeCell ref="M100:N100"/>
    <mergeCell ref="M101:N101"/>
    <mergeCell ref="A79:B79"/>
    <mergeCell ref="A84:B84"/>
    <mergeCell ref="A99:B99"/>
    <mergeCell ref="A97:B97"/>
    <mergeCell ref="A98:B98"/>
    <mergeCell ref="F94:H94"/>
    <mergeCell ref="A431:B431"/>
    <mergeCell ref="A432:B432"/>
    <mergeCell ref="A414:B414"/>
    <mergeCell ref="A423:B423"/>
    <mergeCell ref="A415:B415"/>
    <mergeCell ref="A416:B416"/>
    <mergeCell ref="A417:B417"/>
    <mergeCell ref="A418:B418"/>
    <mergeCell ref="A419:B419"/>
    <mergeCell ref="A420:B420"/>
    <mergeCell ref="A412:B412"/>
    <mergeCell ref="A413:B413"/>
    <mergeCell ref="A410:B410"/>
    <mergeCell ref="A397:I397"/>
    <mergeCell ref="A147:H147"/>
    <mergeCell ref="A361:I361"/>
    <mergeCell ref="A645:I645"/>
    <mergeCell ref="A646:I646"/>
    <mergeCell ref="A647:I647"/>
    <mergeCell ref="A169:H169"/>
    <mergeCell ref="A149:H149"/>
    <mergeCell ref="A219:H219"/>
    <mergeCell ref="A240:H240"/>
    <mergeCell ref="A357:I357"/>
    <mergeCell ref="A437:H437"/>
    <mergeCell ref="A438:H438"/>
    <mergeCell ref="A358:I358"/>
    <mergeCell ref="A259:H259"/>
    <mergeCell ref="A171:H171"/>
    <mergeCell ref="A362:I362"/>
    <mergeCell ref="A363:I363"/>
    <mergeCell ref="A359:I359"/>
    <mergeCell ref="A360:I360"/>
    <mergeCell ref="A328:H328"/>
    <mergeCell ref="C35:K35"/>
    <mergeCell ref="C38:K38"/>
    <mergeCell ref="A257:H257"/>
    <mergeCell ref="A236:I236"/>
    <mergeCell ref="A276:I276"/>
    <mergeCell ref="A277:I277"/>
    <mergeCell ref="A278:I278"/>
    <mergeCell ref="A775:I775"/>
    <mergeCell ref="A669:I669"/>
    <mergeCell ref="A580:I580"/>
    <mergeCell ref="A581:I581"/>
    <mergeCell ref="A582:I582"/>
    <mergeCell ref="A439:H439"/>
    <mergeCell ref="A625:I625"/>
    <mergeCell ref="A599:I599"/>
    <mergeCell ref="A600:I600"/>
    <mergeCell ref="A601:I601"/>
    <mergeCell ref="A532:H532"/>
    <mergeCell ref="A441:H441"/>
    <mergeCell ref="A463:H463"/>
    <mergeCell ref="A487:H487"/>
    <mergeCell ref="A583:H583"/>
    <mergeCell ref="A623:I623"/>
    <mergeCell ref="A624:I624"/>
  </mergeCells>
  <phoneticPr fontId="5" type="noConversion"/>
  <conditionalFormatting sqref="A403:H434">
    <cfRule type="expression" dxfId="8" priority="1" stopIfTrue="1">
      <formula>$A403=$C$5</formula>
    </cfRule>
  </conditionalFormatting>
  <conditionalFormatting sqref="E96:E103 H96:K103">
    <cfRule type="cellIs" dxfId="7" priority="2" stopIfTrue="1" operator="greaterThan">
      <formula>0</formula>
    </cfRule>
    <cfRule type="cellIs" dxfId="6" priority="3" stopIfTrue="1" operator="lessThan">
      <formula>0</formula>
    </cfRule>
  </conditionalFormatting>
  <conditionalFormatting sqref="L88:L1048576 L1:L31 L38:L74">
    <cfRule type="cellIs" dxfId="5" priority="4" stopIfTrue="1" operator="between">
      <formula>1</formula>
      <formula>100</formula>
    </cfRule>
  </conditionalFormatting>
  <dataValidations count="1">
    <dataValidation type="list" allowBlank="1" showInputMessage="1" showErrorMessage="1" sqref="C5:E5">
      <formula1>$V$1:$BA$1</formula1>
    </dataValidation>
  </dataValidations>
  <hyperlinks>
    <hyperlink ref="A1003" r:id="rId1"/>
  </hyperlinks>
  <printOptions horizontalCentered="1"/>
  <pageMargins left="0.74803149606299213" right="0.74803149606299213" top="0.51181102362204722" bottom="0.47244094488188981" header="0.27559055118110237" footer="0.19685039370078741"/>
  <pageSetup paperSize="9" scale="17" fitToHeight="0" orientation="portrait" r:id="rId2"/>
  <headerFooter alignWithMargins="0">
    <oddHeader>&amp;R&amp;"Calibri,Bold Italic"Expenditure and Activity Data</oddHeader>
    <oddFooter>&amp;L&amp;"Calibri,Italic"Last updated: August  2016 (Printed on: &amp;D)&amp;R&amp;"Calibri,Bold Italic"Page &amp;P of &amp;N</oddFooter>
  </headerFooter>
  <rowBreaks count="24" manualBreakCount="24">
    <brk id="21" max="10" man="1"/>
    <brk id="69" max="10" man="1"/>
    <brk id="122" max="10" man="1"/>
    <brk id="146" max="10" man="1"/>
    <brk id="193" max="10" man="1"/>
    <brk id="239" max="10" man="1"/>
    <brk id="282" max="10" man="1"/>
    <brk id="327" max="10" man="1"/>
    <brk id="363" max="10" man="1"/>
    <brk id="397" max="10" man="1"/>
    <brk id="440" max="10" man="1"/>
    <brk id="486" max="10" man="1"/>
    <brk id="535" max="10" man="1"/>
    <brk id="582" max="10" man="1"/>
    <brk id="625" max="10" man="1"/>
    <brk id="671" max="10" man="1"/>
    <brk id="716" max="10" man="1"/>
    <brk id="750" max="10" man="1"/>
    <brk id="778" max="10" man="1"/>
    <brk id="827" max="10" man="1"/>
    <brk id="852" max="10" man="1"/>
    <brk id="901" max="10" man="1"/>
    <brk id="926" max="10" man="1"/>
    <brk id="974" max="10"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3"/>
  </sheetPr>
  <dimension ref="A1:AA77"/>
  <sheetViews>
    <sheetView zoomScale="85" zoomScaleNormal="85" workbookViewId="0">
      <selection activeCell="A2" sqref="A2"/>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row>
    <row r="3" spans="1:27">
      <c r="A3" s="7" t="s">
        <v>31</v>
      </c>
      <c r="B3" s="8">
        <f>B45*$C$39</f>
        <v>148661.56921949622</v>
      </c>
      <c r="C3" s="7">
        <f t="shared" ref="C3:M3" si="0">C45*$C$39</f>
        <v>609.91863961391732</v>
      </c>
      <c r="D3" s="8">
        <f t="shared" si="0"/>
        <v>0</v>
      </c>
      <c r="E3" s="8">
        <f t="shared" si="0"/>
        <v>29970.18211334867</v>
      </c>
      <c r="F3" s="7">
        <f t="shared" si="0"/>
        <v>62158.028400333547</v>
      </c>
      <c r="G3" s="8">
        <f t="shared" si="0"/>
        <v>10773.602850140236</v>
      </c>
      <c r="H3" s="8">
        <f t="shared" si="0"/>
        <v>27075.508249741019</v>
      </c>
      <c r="I3" s="8">
        <f t="shared" si="0"/>
        <v>10155.145349571723</v>
      </c>
      <c r="J3" s="8">
        <f t="shared" si="0"/>
        <v>3509.4718523384804</v>
      </c>
      <c r="K3" s="7">
        <f t="shared" si="0"/>
        <v>0</v>
      </c>
      <c r="L3" s="7">
        <f t="shared" si="0"/>
        <v>15.857884629961852</v>
      </c>
      <c r="M3" s="7">
        <f t="shared" si="0"/>
        <v>4393.8538797786605</v>
      </c>
      <c r="O3" s="7" t="s">
        <v>31</v>
      </c>
      <c r="P3" s="8">
        <f>(B3*1000)/SUM('Population Figures'!$E5:$G5)</f>
        <v>722.67546166689135</v>
      </c>
      <c r="Q3" s="7">
        <f>(C3*1000)/SUM('Population Figures'!$E5:$G5)</f>
        <v>2.9649440455686031</v>
      </c>
      <c r="R3" s="8">
        <f>(D3*1000)/SUM('Population Figures'!$E5)</f>
        <v>0</v>
      </c>
      <c r="S3" s="8">
        <f>(E3*1000)/SUM('Population Figures'!$E5)</f>
        <v>795.99963117443554</v>
      </c>
      <c r="T3" s="7">
        <f>(F3*1000)/SUM('Population Figures'!$G5)</f>
        <v>1923.0278253978142</v>
      </c>
      <c r="U3" s="8">
        <f>(G3*1000)/SUM('Population Figures'!$F5)</f>
        <v>79.371742574852917</v>
      </c>
      <c r="V3" s="8">
        <f>(H3*1000)/SUM('Population Figures'!$F5)</f>
        <v>199.47182950537086</v>
      </c>
      <c r="W3" s="8">
        <f>(I3*1000)/SUM('Population Figures'!$F5)</f>
        <v>74.815416319706813</v>
      </c>
      <c r="X3" s="8">
        <f>(J3*1000)/SUM('Population Figures'!$F5)</f>
        <v>25.855129459675254</v>
      </c>
      <c r="Y3" s="7">
        <f>(K3*1000)/SUM('Population Figures'!$F5)</f>
        <v>0</v>
      </c>
      <c r="Z3" s="7">
        <f>(L3*1000)/SUM('Population Figures'!$F5)</f>
        <v>0.11682887833707972</v>
      </c>
      <c r="AA3" s="7">
        <f>(M3*1000)/SUM('Population Figures'!$F5)</f>
        <v>32.370586136166239</v>
      </c>
    </row>
    <row r="4" spans="1:27">
      <c r="A4" s="7" t="s">
        <v>32</v>
      </c>
      <c r="B4" s="8">
        <f t="shared" ref="B4:M35" si="1">B46*$C$39</f>
        <v>124233.1078656796</v>
      </c>
      <c r="C4" s="7">
        <f t="shared" si="1"/>
        <v>1138.1081815195698</v>
      </c>
      <c r="D4" s="8">
        <f t="shared" si="1"/>
        <v>120.76389064355564</v>
      </c>
      <c r="E4" s="8">
        <f t="shared" si="1"/>
        <v>20711.617164009403</v>
      </c>
      <c r="F4" s="7">
        <f t="shared" si="1"/>
        <v>59227.979255628285</v>
      </c>
      <c r="G4" s="8">
        <f t="shared" si="1"/>
        <v>4543.893865123684</v>
      </c>
      <c r="H4" s="8">
        <f t="shared" si="1"/>
        <v>29920.168784900328</v>
      </c>
      <c r="I4" s="8">
        <f t="shared" si="1"/>
        <v>4563.41126159133</v>
      </c>
      <c r="J4" s="8">
        <f t="shared" si="1"/>
        <v>1726.0697501073862</v>
      </c>
      <c r="K4" s="7">
        <f t="shared" si="1"/>
        <v>0</v>
      </c>
      <c r="L4" s="7">
        <f t="shared" si="1"/>
        <v>0</v>
      </c>
      <c r="M4" s="7">
        <f t="shared" si="1"/>
        <v>2281.0957121560509</v>
      </c>
      <c r="O4" s="7" t="s">
        <v>32</v>
      </c>
      <c r="P4" s="8">
        <f>(B4*1000)/SUM('Population Figures'!$E6:$G6)</f>
        <v>536.48187531061717</v>
      </c>
      <c r="Q4" s="7">
        <f>(C4*1000)/SUM('Population Figures'!$E6:$G6)</f>
        <v>4.9147479445505455</v>
      </c>
      <c r="R4" s="8">
        <f>(D4*1000)/SUM('Population Figures'!$E6)</f>
        <v>2.2846419842137693</v>
      </c>
      <c r="S4" s="8">
        <f>(E4*1000)/SUM('Population Figures'!$E6)</f>
        <v>391.82763888854129</v>
      </c>
      <c r="T4" s="7">
        <f>(F4*1000)/SUM('Population Figures'!$G6)</f>
        <v>1696.736449870464</v>
      </c>
      <c r="U4" s="8">
        <f>(G4*1000)/SUM('Population Figures'!$F6)</f>
        <v>31.59782666075828</v>
      </c>
      <c r="V4" s="8">
        <f>(H4*1000)/SUM('Population Figures'!$F6)</f>
        <v>208.06214559330985</v>
      </c>
      <c r="W4" s="8">
        <f>(I4*1000)/SUM('Population Figures'!$F6)</f>
        <v>31.733548869234028</v>
      </c>
      <c r="X4" s="8">
        <f>(J4*1000)/SUM('Population Figures'!$F6)</f>
        <v>12.002932812073281</v>
      </c>
      <c r="Y4" s="7">
        <f>(K4*1000)/SUM('Population Figures'!$F6)</f>
        <v>0</v>
      </c>
      <c r="Z4" s="7">
        <f>(L4*1000)/SUM('Population Figures'!$F6)</f>
        <v>0</v>
      </c>
      <c r="AA4" s="7">
        <f>(M4*1000)/SUM('Population Figures'!$F6)</f>
        <v>15.862533115602146</v>
      </c>
    </row>
    <row r="5" spans="1:27">
      <c r="A5" s="7" t="s">
        <v>33</v>
      </c>
      <c r="B5" s="8">
        <f t="shared" si="1"/>
        <v>64137.82430452032</v>
      </c>
      <c r="C5" s="7">
        <f t="shared" si="1"/>
        <v>228.10957121560509</v>
      </c>
      <c r="D5" s="8">
        <f t="shared" si="1"/>
        <v>161.01852085807417</v>
      </c>
      <c r="E5" s="8">
        <f t="shared" si="1"/>
        <v>13002.245559289489</v>
      </c>
      <c r="F5" s="7">
        <f t="shared" si="1"/>
        <v>36813.469249816822</v>
      </c>
      <c r="G5" s="8">
        <f t="shared" si="1"/>
        <v>3225.2497662783949</v>
      </c>
      <c r="H5" s="8">
        <f t="shared" si="1"/>
        <v>7755.7254213305732</v>
      </c>
      <c r="I5" s="8">
        <f t="shared" si="1"/>
        <v>1149.0867170326203</v>
      </c>
      <c r="J5" s="8">
        <f t="shared" si="1"/>
        <v>328.13622811228754</v>
      </c>
      <c r="K5" s="7">
        <f t="shared" si="1"/>
        <v>6.0991863961391735</v>
      </c>
      <c r="L5" s="7">
        <f t="shared" si="1"/>
        <v>0</v>
      </c>
      <c r="M5" s="7">
        <f t="shared" si="1"/>
        <v>1468.6840841903129</v>
      </c>
      <c r="O5" s="7" t="s">
        <v>33</v>
      </c>
      <c r="P5" s="8">
        <f>(B5*1000)/SUM('Population Figures'!$E7:$G7)</f>
        <v>591.95038582852158</v>
      </c>
      <c r="Q5" s="7">
        <f>(C5*1000)/SUM('Population Figures'!$E7:$G7)</f>
        <v>2.1053029184642833</v>
      </c>
      <c r="R5" s="8">
        <f>(D5*1000)/SUM('Population Figures'!$E7)</f>
        <v>7.0489218079093883</v>
      </c>
      <c r="S5" s="8">
        <f>(E5*1000)/SUM('Population Figures'!$E7)</f>
        <v>569.20043598868313</v>
      </c>
      <c r="T5" s="7">
        <f>(F5*1000)/SUM('Population Figures'!$G7)</f>
        <v>1820.736398922638</v>
      </c>
      <c r="U5" s="8">
        <f>(G5*1000)/SUM('Population Figures'!$F7)</f>
        <v>49.400345642053594</v>
      </c>
      <c r="V5" s="8">
        <f>(H5*1000)/SUM('Population Figures'!$F7)</f>
        <v>118.79251043577032</v>
      </c>
      <c r="W5" s="8">
        <f>(I5*1000)/SUM('Population Figures'!$F7)</f>
        <v>17.600274430716521</v>
      </c>
      <c r="X5" s="8">
        <f>(J5*1000)/SUM('Population Figures'!$F7)</f>
        <v>5.0259807026143779</v>
      </c>
      <c r="Y5" s="7">
        <f>(K5*1000)/SUM('Population Figures'!$F7)</f>
        <v>9.3419715661977293E-2</v>
      </c>
      <c r="Z5" s="7">
        <f>(L5*1000)/SUM('Population Figures'!$F7)</f>
        <v>0</v>
      </c>
      <c r="AA5" s="7">
        <f>(M5*1000)/SUM('Population Figures'!$F7)</f>
        <v>22.495467531404127</v>
      </c>
    </row>
    <row r="6" spans="1:27">
      <c r="A6" s="7" t="s">
        <v>34</v>
      </c>
      <c r="B6" s="8">
        <f t="shared" si="1"/>
        <v>68326.745521388701</v>
      </c>
      <c r="C6" s="7">
        <f t="shared" si="1"/>
        <v>877.06300376481317</v>
      </c>
      <c r="D6" s="8">
        <f t="shared" si="1"/>
        <v>90.267958662859769</v>
      </c>
      <c r="E6" s="8">
        <f t="shared" si="1"/>
        <v>10160.024698688636</v>
      </c>
      <c r="F6" s="7">
        <f t="shared" si="1"/>
        <v>34174.961214847019</v>
      </c>
      <c r="G6" s="8">
        <f t="shared" si="1"/>
        <v>992.94754529145746</v>
      </c>
      <c r="H6" s="8">
        <f t="shared" si="1"/>
        <v>16234.814349243252</v>
      </c>
      <c r="I6" s="8">
        <f t="shared" si="1"/>
        <v>5496.5867802006233</v>
      </c>
      <c r="J6" s="8">
        <f t="shared" si="1"/>
        <v>306.17915708618654</v>
      </c>
      <c r="K6" s="7">
        <f t="shared" si="1"/>
        <v>0</v>
      </c>
      <c r="L6" s="7">
        <f t="shared" si="1"/>
        <v>0</v>
      </c>
      <c r="M6" s="7">
        <f t="shared" si="1"/>
        <v>-6.0991863961391735</v>
      </c>
      <c r="O6" s="7" t="s">
        <v>34</v>
      </c>
      <c r="P6" s="8">
        <f>(B6*1000)/SUM('Population Figures'!$E8:$G8)</f>
        <v>749.27892884514415</v>
      </c>
      <c r="Q6" s="7">
        <f>(C6*1000)/SUM('Population Figures'!$E8:$G8)</f>
        <v>9.6179735032877858</v>
      </c>
      <c r="R6" s="8">
        <f>(D6*1000)/SUM('Population Figures'!$E8)</f>
        <v>4.8372519512812699</v>
      </c>
      <c r="S6" s="8">
        <f>(E6*1000)/SUM('Population Figures'!$E8)</f>
        <v>544.45231759759042</v>
      </c>
      <c r="T6" s="7">
        <f>(F6*1000)/SUM('Population Figures'!$G8)</f>
        <v>1931.0069620774675</v>
      </c>
      <c r="U6" s="8">
        <f>(G6*1000)/SUM('Population Figures'!$F8)</f>
        <v>18.109236477384279</v>
      </c>
      <c r="V6" s="8">
        <f>(H6*1000)/SUM('Population Figures'!$F8)</f>
        <v>296.08824112715894</v>
      </c>
      <c r="W6" s="8">
        <f>(I6*1000)/SUM('Population Figures'!$F8)</f>
        <v>100.24596998414442</v>
      </c>
      <c r="X6" s="8">
        <f>(J6*1000)/SUM('Population Figures'!$F8)</f>
        <v>5.5840520341811475</v>
      </c>
      <c r="Y6" s="7">
        <f>(K6*1000)/SUM('Population Figures'!$F8)</f>
        <v>0</v>
      </c>
      <c r="Z6" s="7">
        <f>(L6*1000)/SUM('Population Figures'!$F8)</f>
        <v>0</v>
      </c>
      <c r="AA6" s="7">
        <f>(M6*1000)/SUM('Population Figures'!$F8)</f>
        <v>-0.11123609629842925</v>
      </c>
    </row>
    <row r="7" spans="1:27">
      <c r="A7" s="7" t="s">
        <v>35</v>
      </c>
      <c r="B7" s="8">
        <f t="shared" si="1"/>
        <v>28191.659360234487</v>
      </c>
      <c r="C7" s="7">
        <f t="shared" si="1"/>
        <v>642.85424615306886</v>
      </c>
      <c r="D7" s="8">
        <f t="shared" si="1"/>
        <v>21.957071026101026</v>
      </c>
      <c r="E7" s="8">
        <f t="shared" si="1"/>
        <v>5552.6992950451031</v>
      </c>
      <c r="F7" s="7">
        <f t="shared" si="1"/>
        <v>13202.298873082855</v>
      </c>
      <c r="G7" s="8">
        <f t="shared" si="1"/>
        <v>2677.5428279050971</v>
      </c>
      <c r="H7" s="8">
        <f t="shared" si="1"/>
        <v>3553.3859943906823</v>
      </c>
      <c r="I7" s="8">
        <f t="shared" si="1"/>
        <v>1210.0785809940121</v>
      </c>
      <c r="J7" s="8">
        <f t="shared" si="1"/>
        <v>87.828284104404105</v>
      </c>
      <c r="K7" s="7">
        <f t="shared" si="1"/>
        <v>0</v>
      </c>
      <c r="L7" s="7">
        <f t="shared" si="1"/>
        <v>0</v>
      </c>
      <c r="M7" s="7">
        <f t="shared" si="1"/>
        <v>1243.0141875331635</v>
      </c>
      <c r="O7" s="7" t="s">
        <v>35</v>
      </c>
      <c r="P7" s="8">
        <f>(B7*1000)/SUM('Population Figures'!$E9:$G9)</f>
        <v>584.4042155935839</v>
      </c>
      <c r="Q7" s="7">
        <f>(C7*1000)/SUM('Population Figures'!$E9:$G9)</f>
        <v>13.326165965030448</v>
      </c>
      <c r="R7" s="8">
        <f>(D7*1000)/SUM('Population Figures'!$E9)</f>
        <v>2.0268689214530622</v>
      </c>
      <c r="S7" s="8">
        <f>(E7*1000)/SUM('Population Figures'!$E9)</f>
        <v>512.57262946968547</v>
      </c>
      <c r="T7" s="7">
        <f>(F7*1000)/SUM('Population Figures'!$G9)</f>
        <v>1805.5660384413093</v>
      </c>
      <c r="U7" s="8">
        <f>(G7*1000)/SUM('Population Figures'!$F9)</f>
        <v>88.969690244395977</v>
      </c>
      <c r="V7" s="8">
        <f>(H7*1000)/SUM('Population Figures'!$F9)</f>
        <v>118.07230418310957</v>
      </c>
      <c r="W7" s="8">
        <f>(I7*1000)/SUM('Population Figures'!$F9)</f>
        <v>40.20862538607782</v>
      </c>
      <c r="X7" s="8">
        <f>(J7*1000)/SUM('Population Figures'!$F9)</f>
        <v>2.9183679715701643</v>
      </c>
      <c r="Y7" s="7">
        <f>(K7*1000)/SUM('Population Figures'!$F9)</f>
        <v>0</v>
      </c>
      <c r="Z7" s="7">
        <f>(L7*1000)/SUM('Population Figures'!$F9)</f>
        <v>0</v>
      </c>
      <c r="AA7" s="7">
        <f>(M7*1000)/SUM('Population Figures'!$F9)</f>
        <v>41.303013375416633</v>
      </c>
    </row>
    <row r="8" spans="1:27">
      <c r="A8" s="7" t="s">
        <v>36</v>
      </c>
      <c r="B8" s="8">
        <f t="shared" si="1"/>
        <v>89195.721694418506</v>
      </c>
      <c r="C8" s="7">
        <f t="shared" si="1"/>
        <v>995.38721984991309</v>
      </c>
      <c r="D8" s="8">
        <f t="shared" si="1"/>
        <v>104.90600601359378</v>
      </c>
      <c r="E8" s="8">
        <f t="shared" si="1"/>
        <v>17352.185297015949</v>
      </c>
      <c r="F8" s="7">
        <f t="shared" si="1"/>
        <v>46688.052025166144</v>
      </c>
      <c r="G8" s="8">
        <f t="shared" si="1"/>
        <v>6584.6816332718518</v>
      </c>
      <c r="H8" s="8">
        <f t="shared" si="1"/>
        <v>11329.848649468129</v>
      </c>
      <c r="I8" s="8">
        <f t="shared" si="1"/>
        <v>3177.6761123885094</v>
      </c>
      <c r="J8" s="8">
        <f t="shared" si="1"/>
        <v>537.94824013947505</v>
      </c>
      <c r="K8" s="7">
        <f t="shared" si="1"/>
        <v>1.2198372792278347</v>
      </c>
      <c r="L8" s="7">
        <f t="shared" si="1"/>
        <v>0</v>
      </c>
      <c r="M8" s="7">
        <f t="shared" si="1"/>
        <v>2423.8166738257073</v>
      </c>
      <c r="O8" s="7" t="s">
        <v>36</v>
      </c>
      <c r="P8" s="8">
        <f>(B8*1000)/SUM('Population Figures'!$E10:$G10)</f>
        <v>602.95897853321503</v>
      </c>
      <c r="Q8" s="7">
        <f>(C8*1000)/SUM('Population Figures'!$E10:$G10)</f>
        <v>6.7287718505368295</v>
      </c>
      <c r="R8" s="8">
        <f>(D8*1000)/SUM('Population Figures'!$E10)</f>
        <v>3.4788925887446123</v>
      </c>
      <c r="S8" s="8">
        <f>(E8*1000)/SUM('Population Figures'!$E10)</f>
        <v>575.43310552200137</v>
      </c>
      <c r="T8" s="7">
        <f>(F8*1000)/SUM('Population Figures'!$G10)</f>
        <v>1564.6654386931916</v>
      </c>
      <c r="U8" s="8">
        <f>(G8*1000)/SUM('Population Figures'!$F10)</f>
        <v>74.880386113444459</v>
      </c>
      <c r="V8" s="8">
        <f>(H8*1000)/SUM('Population Figures'!$F10)</f>
        <v>128.84198336822382</v>
      </c>
      <c r="W8" s="8">
        <f>(I8*1000)/SUM('Population Figures'!$F10)</f>
        <v>36.136236722030901</v>
      </c>
      <c r="X8" s="8">
        <f>(J8*1000)/SUM('Population Figures'!$F10)</f>
        <v>6.117497272328456</v>
      </c>
      <c r="Y8" s="7">
        <f>(K8*1000)/SUM('Population Figures'!$F10)</f>
        <v>1.3871875900971555E-2</v>
      </c>
      <c r="Z8" s="7">
        <f>(L8*1000)/SUM('Population Figures'!$F10)</f>
        <v>0</v>
      </c>
      <c r="AA8" s="7">
        <f>(M8*1000)/SUM('Population Figures'!$F10)</f>
        <v>27.563417415230479</v>
      </c>
    </row>
    <row r="9" spans="1:27">
      <c r="A9" s="7" t="s">
        <v>37</v>
      </c>
      <c r="B9" s="8">
        <f t="shared" si="1"/>
        <v>101614.88503423709</v>
      </c>
      <c r="C9" s="7">
        <f t="shared" si="1"/>
        <v>886.82170199863583</v>
      </c>
      <c r="D9" s="8">
        <f t="shared" si="1"/>
        <v>195.17396467645355</v>
      </c>
      <c r="E9" s="8">
        <f t="shared" si="1"/>
        <v>27196.272140384575</v>
      </c>
      <c r="F9" s="7">
        <f t="shared" si="1"/>
        <v>45553.603355484258</v>
      </c>
      <c r="G9" s="8">
        <f t="shared" si="1"/>
        <v>7238.5144149379712</v>
      </c>
      <c r="H9" s="8">
        <f t="shared" si="1"/>
        <v>12173.97604669379</v>
      </c>
      <c r="I9" s="8">
        <f t="shared" si="1"/>
        <v>2490.9077241832383</v>
      </c>
      <c r="J9" s="8">
        <f t="shared" si="1"/>
        <v>624.55668696465136</v>
      </c>
      <c r="K9" s="7">
        <f t="shared" si="1"/>
        <v>206.15250018950405</v>
      </c>
      <c r="L9" s="7">
        <f t="shared" si="1"/>
        <v>0</v>
      </c>
      <c r="M9" s="7">
        <f t="shared" si="1"/>
        <v>5048.9064987240081</v>
      </c>
      <c r="O9" s="7" t="s">
        <v>37</v>
      </c>
      <c r="P9" s="8">
        <f>(B9*1000)/SUM('Population Figures'!$E11:$G11)</f>
        <v>714.74210476357234</v>
      </c>
      <c r="Q9" s="7">
        <f>(C9*1000)/SUM('Population Figures'!$E11:$G11)</f>
        <v>6.2377555180321851</v>
      </c>
      <c r="R9" s="8">
        <f>(D9*1000)/SUM('Population Figures'!$E11)</f>
        <v>6.9867179050099715</v>
      </c>
      <c r="S9" s="8">
        <f>(E9*1000)/SUM('Population Figures'!$E11)</f>
        <v>973.55547307623317</v>
      </c>
      <c r="T9" s="7">
        <f>(F9*1000)/SUM('Population Figures'!$G11)</f>
        <v>1769.5530185092746</v>
      </c>
      <c r="U9" s="8">
        <f>(G9*1000)/SUM('Population Figures'!$F11)</f>
        <v>81.798517548908052</v>
      </c>
      <c r="V9" s="8">
        <f>(H9*1000)/SUM('Population Figures'!$F11)</f>
        <v>137.57148721572332</v>
      </c>
      <c r="W9" s="8">
        <f>(I9*1000)/SUM('Population Figures'!$F11)</f>
        <v>28.148394478407518</v>
      </c>
      <c r="X9" s="8">
        <f>(J9*1000)/SUM('Population Figures'!$F11)</f>
        <v>7.0577756968387124</v>
      </c>
      <c r="Y9" s="7">
        <f>(K9*1000)/SUM('Population Figures'!$F11)</f>
        <v>2.3296173686830906</v>
      </c>
      <c r="Z9" s="7">
        <f>(L9*1000)/SUM('Population Figures'!$F11)</f>
        <v>0</v>
      </c>
      <c r="AA9" s="7">
        <f>(M9*1000)/SUM('Population Figures'!$F11)</f>
        <v>57.054948455498895</v>
      </c>
    </row>
    <row r="10" spans="1:27">
      <c r="A10" s="7" t="s">
        <v>38</v>
      </c>
      <c r="B10" s="8">
        <f t="shared" si="1"/>
        <v>68192.563420673643</v>
      </c>
      <c r="C10" s="7">
        <f t="shared" si="1"/>
        <v>875.84316648558536</v>
      </c>
      <c r="D10" s="8">
        <f t="shared" si="1"/>
        <v>118.32421608509996</v>
      </c>
      <c r="E10" s="8">
        <f t="shared" si="1"/>
        <v>11077.342332667968</v>
      </c>
      <c r="F10" s="7">
        <f t="shared" si="1"/>
        <v>35494.825150971534</v>
      </c>
      <c r="G10" s="8">
        <f t="shared" si="1"/>
        <v>3833.9485686130843</v>
      </c>
      <c r="H10" s="8">
        <f t="shared" si="1"/>
        <v>11295.69320564975</v>
      </c>
      <c r="I10" s="8">
        <f t="shared" si="1"/>
        <v>2897.1135381661074</v>
      </c>
      <c r="J10" s="8">
        <f t="shared" si="1"/>
        <v>208.59217474795975</v>
      </c>
      <c r="K10" s="7">
        <f t="shared" si="1"/>
        <v>0</v>
      </c>
      <c r="L10" s="7">
        <f t="shared" si="1"/>
        <v>0</v>
      </c>
      <c r="M10" s="7">
        <f t="shared" si="1"/>
        <v>2390.8810672865561</v>
      </c>
      <c r="O10" s="7" t="s">
        <v>38</v>
      </c>
      <c r="P10" s="8">
        <f>(B10*1000)/SUM('Population Figures'!$E12:$G12)</f>
        <v>569.60042950779848</v>
      </c>
      <c r="Q10" s="7">
        <f>(C10*1000)/SUM('Population Figures'!$E12:$G12)</f>
        <v>7.315763168105458</v>
      </c>
      <c r="R10" s="8">
        <f>(D10*1000)/SUM('Population Figures'!$E12)</f>
        <v>4.5244805783534705</v>
      </c>
      <c r="S10" s="8">
        <f>(E10*1000)/SUM('Population Figures'!$E12)</f>
        <v>423.57534156729764</v>
      </c>
      <c r="T10" s="7">
        <f>(F10*1000)/SUM('Population Figures'!$G12)</f>
        <v>1803.9654986263231</v>
      </c>
      <c r="U10" s="8">
        <f>(G10*1000)/SUM('Population Figures'!$F12)</f>
        <v>51.885841073635632</v>
      </c>
      <c r="V10" s="8">
        <f>(H10*1000)/SUM('Population Figures'!$F12)</f>
        <v>152.86760685391857</v>
      </c>
      <c r="W10" s="8">
        <f>(I10*1000)/SUM('Population Figures'!$F12)</f>
        <v>39.207404565664859</v>
      </c>
      <c r="X10" s="8">
        <f>(J10*1000)/SUM('Population Figures'!$F12)</f>
        <v>2.8229331287278696</v>
      </c>
      <c r="Y10" s="7">
        <f>(K10*1000)/SUM('Population Figures'!$F12)</f>
        <v>0</v>
      </c>
      <c r="Z10" s="7">
        <f>(L10*1000)/SUM('Population Figures'!$F12)</f>
        <v>0</v>
      </c>
      <c r="AA10" s="7">
        <f>(M10*1000)/SUM('Population Figures'!$F12)</f>
        <v>32.356426504717099</v>
      </c>
    </row>
    <row r="11" spans="1:27">
      <c r="A11" s="7" t="s">
        <v>39</v>
      </c>
      <c r="B11" s="8">
        <f t="shared" si="1"/>
        <v>51660.108775298802</v>
      </c>
      <c r="C11" s="7">
        <f t="shared" si="1"/>
        <v>1977.3562296283201</v>
      </c>
      <c r="D11" s="8">
        <f t="shared" si="1"/>
        <v>7.3190236753670082</v>
      </c>
      <c r="E11" s="8">
        <f t="shared" si="1"/>
        <v>8300.9926851454147</v>
      </c>
      <c r="F11" s="7">
        <f t="shared" si="1"/>
        <v>20087.060477044753</v>
      </c>
      <c r="G11" s="8">
        <f t="shared" si="1"/>
        <v>3202.0728579730662</v>
      </c>
      <c r="H11" s="8">
        <f t="shared" si="1"/>
        <v>14125.715693458325</v>
      </c>
      <c r="I11" s="8">
        <f t="shared" si="1"/>
        <v>3668.0506986380988</v>
      </c>
      <c r="J11" s="8">
        <f t="shared" si="1"/>
        <v>291.54110973545249</v>
      </c>
      <c r="K11" s="7">
        <f t="shared" si="1"/>
        <v>0</v>
      </c>
      <c r="L11" s="7">
        <f t="shared" si="1"/>
        <v>0</v>
      </c>
      <c r="M11" s="7">
        <f t="shared" si="1"/>
        <v>0</v>
      </c>
      <c r="O11" s="7" t="s">
        <v>39</v>
      </c>
      <c r="P11" s="8">
        <f>(B11*1000)/SUM('Population Figures'!$E13:$G13)</f>
        <v>484.84381769402916</v>
      </c>
      <c r="Q11" s="7">
        <f>(C11*1000)/SUM('Population Figures'!$E13:$G13)</f>
        <v>18.558012478914314</v>
      </c>
      <c r="R11" s="8">
        <f>(D11*1000)/SUM('Population Figures'!$E13)</f>
        <v>0.30913261004253284</v>
      </c>
      <c r="S11" s="8">
        <f>(E11*1000)/SUM('Population Figures'!$E13)</f>
        <v>350.60790188990597</v>
      </c>
      <c r="T11" s="7">
        <f>(F11*1000)/SUM('Population Figures'!$G13)</f>
        <v>1114.5236906755119</v>
      </c>
      <c r="U11" s="8">
        <f>(G11*1000)/SUM('Population Figures'!$F13)</f>
        <v>49.375843980402244</v>
      </c>
      <c r="V11" s="8">
        <f>(H11*1000)/SUM('Population Figures'!$F13)</f>
        <v>217.81800887354592</v>
      </c>
      <c r="W11" s="8">
        <f>(I11*1000)/SUM('Population Figures'!$F13)</f>
        <v>56.561204894883637</v>
      </c>
      <c r="X11" s="8">
        <f>(J11*1000)/SUM('Population Figures'!$F13)</f>
        <v>4.4955530328823379</v>
      </c>
      <c r="Y11" s="7">
        <f>(K11*1000)/SUM('Population Figures'!$F13)</f>
        <v>0</v>
      </c>
      <c r="Z11" s="7">
        <f>(L11*1000)/SUM('Population Figures'!$F13)</f>
        <v>0</v>
      </c>
      <c r="AA11" s="7">
        <f>(M11*1000)/SUM('Population Figures'!$F13)</f>
        <v>0</v>
      </c>
    </row>
    <row r="12" spans="1:27">
      <c r="A12" s="7" t="s">
        <v>40</v>
      </c>
      <c r="B12" s="8">
        <f t="shared" si="1"/>
        <v>60851.582674280537</v>
      </c>
      <c r="C12" s="7">
        <f t="shared" si="1"/>
        <v>348.87346185916073</v>
      </c>
      <c r="D12" s="8">
        <f t="shared" si="1"/>
        <v>68.310887636758736</v>
      </c>
      <c r="E12" s="8">
        <f t="shared" si="1"/>
        <v>11403.038886221799</v>
      </c>
      <c r="F12" s="7">
        <f t="shared" si="1"/>
        <v>27559.783649594468</v>
      </c>
      <c r="G12" s="8">
        <f t="shared" si="1"/>
        <v>3563.1446926245053</v>
      </c>
      <c r="H12" s="8">
        <f t="shared" si="1"/>
        <v>13640.220456325647</v>
      </c>
      <c r="I12" s="8">
        <f t="shared" si="1"/>
        <v>2482.3688632286435</v>
      </c>
      <c r="J12" s="8">
        <f t="shared" si="1"/>
        <v>417.18434949591949</v>
      </c>
      <c r="K12" s="7">
        <f t="shared" si="1"/>
        <v>0</v>
      </c>
      <c r="L12" s="7">
        <f t="shared" si="1"/>
        <v>0</v>
      </c>
      <c r="M12" s="7">
        <f t="shared" si="1"/>
        <v>1368.6574272936305</v>
      </c>
      <c r="O12" s="7" t="s">
        <v>40</v>
      </c>
      <c r="P12" s="8">
        <f>(B12*1000)/SUM('Population Figures'!$E14:$G14)</f>
        <v>664.46366755056283</v>
      </c>
      <c r="Q12" s="7">
        <f>(C12*1000)/SUM('Population Figures'!$E14:$G14)</f>
        <v>3.8094940146228513</v>
      </c>
      <c r="R12" s="8">
        <f>(D12*1000)/SUM('Population Figures'!$E14)</f>
        <v>3.2734755432604339</v>
      </c>
      <c r="S12" s="8">
        <f>(E12*1000)/SUM('Population Figures'!$E14)</f>
        <v>546.43659604283107</v>
      </c>
      <c r="T12" s="7">
        <f>(F12*1000)/SUM('Population Figures'!$G14)</f>
        <v>1712.425975493629</v>
      </c>
      <c r="U12" s="8">
        <f>(G12*1000)/SUM('Population Figures'!$F14)</f>
        <v>65.237553418735672</v>
      </c>
      <c r="V12" s="8">
        <f>(H12*1000)/SUM('Population Figures'!$F14)</f>
        <v>249.7385560863753</v>
      </c>
      <c r="W12" s="8">
        <f>(I12*1000)/SUM('Population Figures'!$F14)</f>
        <v>45.449647794292055</v>
      </c>
      <c r="X12" s="8">
        <f>(J12*1000)/SUM('Population Figures'!$F14)</f>
        <v>7.6382209069522773</v>
      </c>
      <c r="Y12" s="7">
        <f>(K12*1000)/SUM('Population Figures'!$F14)</f>
        <v>0</v>
      </c>
      <c r="Z12" s="7">
        <f>(L12*1000)/SUM('Population Figures'!$F14)</f>
        <v>0</v>
      </c>
      <c r="AA12" s="7">
        <f>(M12*1000)/SUM('Population Figures'!$F14)</f>
        <v>25.05872472982589</v>
      </c>
    </row>
    <row r="13" spans="1:27">
      <c r="A13" s="7" t="s">
        <v>41</v>
      </c>
      <c r="B13" s="8">
        <f t="shared" si="1"/>
        <v>43461.582421608524</v>
      </c>
      <c r="C13" s="7">
        <f t="shared" si="1"/>
        <v>1293.0275159815048</v>
      </c>
      <c r="D13" s="8">
        <f t="shared" si="1"/>
        <v>0</v>
      </c>
      <c r="E13" s="8">
        <f t="shared" si="1"/>
        <v>5536.8414104151416</v>
      </c>
      <c r="F13" s="7">
        <f t="shared" si="1"/>
        <v>16483.661154205729</v>
      </c>
      <c r="G13" s="8">
        <f t="shared" si="1"/>
        <v>7067.7371958460744</v>
      </c>
      <c r="H13" s="8">
        <f t="shared" si="1"/>
        <v>9622.0764585491597</v>
      </c>
      <c r="I13" s="8">
        <f t="shared" si="1"/>
        <v>838.02821082952244</v>
      </c>
      <c r="J13" s="8">
        <f t="shared" si="1"/>
        <v>1462.5848977941737</v>
      </c>
      <c r="K13" s="7">
        <f t="shared" si="1"/>
        <v>0</v>
      </c>
      <c r="L13" s="7">
        <f t="shared" si="1"/>
        <v>0</v>
      </c>
      <c r="M13" s="7">
        <f t="shared" si="1"/>
        <v>1157.6255779872151</v>
      </c>
      <c r="O13" s="7" t="s">
        <v>41</v>
      </c>
      <c r="P13" s="8">
        <f>(B13*1000)/SUM('Population Figures'!$E15:$G15)</f>
        <v>485.00817343609555</v>
      </c>
      <c r="Q13" s="7">
        <f>(C13*1000)/SUM('Population Figures'!$E15:$G15)</f>
        <v>14.42950023414245</v>
      </c>
      <c r="R13" s="8">
        <f>(D13*1000)/SUM('Population Figures'!$E15)</f>
        <v>0</v>
      </c>
      <c r="S13" s="8">
        <f>(E13*1000)/SUM('Population Figures'!$E15)</f>
        <v>261.67783970958658</v>
      </c>
      <c r="T13" s="7">
        <f>(F13*1000)/SUM('Population Figures'!$G15)</f>
        <v>1112.032729825658</v>
      </c>
      <c r="U13" s="8">
        <f>(G13*1000)/SUM('Population Figures'!$F15)</f>
        <v>131.79192205277232</v>
      </c>
      <c r="V13" s="8">
        <f>(H13*1000)/SUM('Population Figures'!$F15)</f>
        <v>179.42262360239354</v>
      </c>
      <c r="W13" s="8">
        <f>(I13*1000)/SUM('Population Figures'!$F15)</f>
        <v>15.626691482612115</v>
      </c>
      <c r="X13" s="8">
        <f>(J13*1000)/SUM('Population Figures'!$F15)</f>
        <v>27.272784698183298</v>
      </c>
      <c r="Y13" s="7">
        <f>(K13*1000)/SUM('Population Figures'!$F15)</f>
        <v>0</v>
      </c>
      <c r="Z13" s="7">
        <f>(L13*1000)/SUM('Population Figures'!$F15)</f>
        <v>0</v>
      </c>
      <c r="AA13" s="7">
        <f>(M13*1000)/SUM('Population Figures'!$F15)</f>
        <v>21.586215745267683</v>
      </c>
    </row>
    <row r="14" spans="1:27">
      <c r="A14" s="7" t="s">
        <v>140</v>
      </c>
      <c r="B14" s="8">
        <f t="shared" si="1"/>
        <v>285529.75162341772</v>
      </c>
      <c r="C14" s="7">
        <f t="shared" si="1"/>
        <v>1354.0193799428964</v>
      </c>
      <c r="D14" s="8">
        <f t="shared" si="1"/>
        <v>195.17396467645355</v>
      </c>
      <c r="E14" s="8">
        <f t="shared" si="1"/>
        <v>66927.592162114379</v>
      </c>
      <c r="F14" s="7">
        <f t="shared" si="1"/>
        <v>124530.74816181119</v>
      </c>
      <c r="G14" s="8">
        <f t="shared" si="1"/>
        <v>17364.383669808227</v>
      </c>
      <c r="H14" s="8">
        <f t="shared" si="1"/>
        <v>42173.43425474393</v>
      </c>
      <c r="I14" s="8">
        <f t="shared" si="1"/>
        <v>12199.592629557575</v>
      </c>
      <c r="J14" s="8">
        <f t="shared" si="1"/>
        <v>4253.5725926674595</v>
      </c>
      <c r="K14" s="7">
        <f t="shared" si="1"/>
        <v>2211.5649872400645</v>
      </c>
      <c r="L14" s="7">
        <f t="shared" si="1"/>
        <v>1180.802486292544</v>
      </c>
      <c r="M14" s="7">
        <f t="shared" si="1"/>
        <v>13138.867334563007</v>
      </c>
      <c r="O14" s="7" t="s">
        <v>140</v>
      </c>
      <c r="P14" s="8">
        <f>(B14*1000)/SUM('Population Figures'!$E16:$G16)</f>
        <v>629.37763489632937</v>
      </c>
      <c r="Q14" s="7">
        <f>(C14*1000)/SUM('Population Figures'!$E16:$G16)</f>
        <v>2.9845909580595946</v>
      </c>
      <c r="R14" s="8">
        <f>(D14*1000)/SUM('Population Figures'!$E16)</f>
        <v>2.4218737861276312</v>
      </c>
      <c r="S14" s="8">
        <f>(E14*1000)/SUM('Population Figures'!$E16)</f>
        <v>830.49079468549144</v>
      </c>
      <c r="T14" s="7">
        <f>(F14*1000)/SUM('Population Figures'!$G16)</f>
        <v>1807.3341967956576</v>
      </c>
      <c r="U14" s="8">
        <f>(G14*1000)/SUM('Population Figures'!$F16)</f>
        <v>57.086069945026537</v>
      </c>
      <c r="V14" s="8">
        <f>(H14*1000)/SUM('Population Figures'!$F16)</f>
        <v>138.64676474951898</v>
      </c>
      <c r="W14" s="8">
        <f>(I14*1000)/SUM('Population Figures'!$F16)</f>
        <v>40.106623499839159</v>
      </c>
      <c r="X14" s="8">
        <f>(J14*1000)/SUM('Population Figures'!$F16)</f>
        <v>13.983781236270287</v>
      </c>
      <c r="Y14" s="7">
        <f>(K14*1000)/SUM('Population Figures'!$F16)</f>
        <v>7.2706037801428254</v>
      </c>
      <c r="Z14" s="7">
        <f>(L14*1000)/SUM('Population Figures'!$F16)</f>
        <v>3.8819329614882818</v>
      </c>
      <c r="AA14" s="7">
        <f>(M14*1000)/SUM('Population Figures'!$F16)</f>
        <v>43.194524719204836</v>
      </c>
    </row>
    <row r="15" spans="1:27">
      <c r="A15" s="7" t="s">
        <v>42</v>
      </c>
      <c r="B15" s="8">
        <f t="shared" si="1"/>
        <v>22285.207254213314</v>
      </c>
      <c r="C15" s="7">
        <f t="shared" si="1"/>
        <v>420.84386133360294</v>
      </c>
      <c r="D15" s="8">
        <f t="shared" si="1"/>
        <v>62.211701240619568</v>
      </c>
      <c r="E15" s="8">
        <f t="shared" si="1"/>
        <v>2407.9587891957458</v>
      </c>
      <c r="F15" s="7">
        <f t="shared" si="1"/>
        <v>14063.503992217706</v>
      </c>
      <c r="G15" s="8">
        <f t="shared" si="1"/>
        <v>1092.9742021881398</v>
      </c>
      <c r="H15" s="8">
        <f t="shared" si="1"/>
        <v>2801.9662303863361</v>
      </c>
      <c r="I15" s="8">
        <f t="shared" si="1"/>
        <v>1044.1807110190266</v>
      </c>
      <c r="J15" s="8">
        <f t="shared" si="1"/>
        <v>135.40193799428965</v>
      </c>
      <c r="K15" s="7">
        <f t="shared" si="1"/>
        <v>0</v>
      </c>
      <c r="L15" s="7">
        <f t="shared" si="1"/>
        <v>0</v>
      </c>
      <c r="M15" s="7">
        <f t="shared" si="1"/>
        <v>256.16582863784527</v>
      </c>
      <c r="O15" s="7" t="s">
        <v>42</v>
      </c>
      <c r="P15" s="8">
        <f>(B15*1000)/SUM('Population Figures'!$E17:$G17)</f>
        <v>848.63698607057552</v>
      </c>
      <c r="Q15" s="7">
        <f>(C15*1000)/SUM('Population Figures'!$E17:$G17)</f>
        <v>16.02604193958884</v>
      </c>
      <c r="R15" s="8">
        <f>(D15*1000)/SUM('Population Figures'!$E17)</f>
        <v>11.288641125135106</v>
      </c>
      <c r="S15" s="8">
        <f>(E15*1000)/SUM('Population Figures'!$E17)</f>
        <v>436.93681531405292</v>
      </c>
      <c r="T15" s="7">
        <f>(F15*1000)/SUM('Population Figures'!$G17)</f>
        <v>2664.0469771202324</v>
      </c>
      <c r="U15" s="8">
        <f>(G15*1000)/SUM('Population Figures'!$F17)</f>
        <v>70.651208932652864</v>
      </c>
      <c r="V15" s="8">
        <f>(H15*1000)/SUM('Population Figures'!$F17)</f>
        <v>181.12257468560671</v>
      </c>
      <c r="W15" s="8">
        <f>(I15*1000)/SUM('Population Figures'!$F17)</f>
        <v>67.497137105302301</v>
      </c>
      <c r="X15" s="8">
        <f>(J15*1000)/SUM('Population Figures'!$F17)</f>
        <v>8.7525493208978435</v>
      </c>
      <c r="Y15" s="7">
        <f>(K15*1000)/SUM('Population Figures'!$F17)</f>
        <v>0</v>
      </c>
      <c r="Z15" s="7">
        <f>(L15*1000)/SUM('Population Figures'!$F17)</f>
        <v>0</v>
      </c>
      <c r="AA15" s="7">
        <f>(M15*1000)/SUM('Population Figures'!$F17)</f>
        <v>16.558877093590514</v>
      </c>
    </row>
    <row r="16" spans="1:27">
      <c r="A16" s="7" t="s">
        <v>43</v>
      </c>
      <c r="B16" s="8">
        <f t="shared" si="1"/>
        <v>86987.816219016124</v>
      </c>
      <c r="C16" s="7">
        <f t="shared" si="1"/>
        <v>261.04517775475665</v>
      </c>
      <c r="D16" s="8">
        <f t="shared" si="1"/>
        <v>67.091050357530904</v>
      </c>
      <c r="E16" s="8">
        <f t="shared" si="1"/>
        <v>20394.459471410169</v>
      </c>
      <c r="F16" s="7">
        <f t="shared" si="1"/>
        <v>41243.918247972317</v>
      </c>
      <c r="G16" s="8">
        <f t="shared" si="1"/>
        <v>6251.6660560426526</v>
      </c>
      <c r="H16" s="8">
        <f t="shared" si="1"/>
        <v>12102.005647219348</v>
      </c>
      <c r="I16" s="8">
        <f t="shared" si="1"/>
        <v>3755.878982742503</v>
      </c>
      <c r="J16" s="8">
        <f t="shared" si="1"/>
        <v>570.88384667862658</v>
      </c>
      <c r="K16" s="7">
        <f t="shared" si="1"/>
        <v>3.6595118376835041</v>
      </c>
      <c r="L16" s="7">
        <f t="shared" si="1"/>
        <v>0</v>
      </c>
      <c r="M16" s="7">
        <f t="shared" si="1"/>
        <v>2337.2082270005312</v>
      </c>
      <c r="O16" s="7" t="s">
        <v>43</v>
      </c>
      <c r="P16" s="8">
        <f>(B16*1000)/SUM('Population Figures'!$E18:$G18)</f>
        <v>589.90788158833664</v>
      </c>
      <c r="Q16" s="7">
        <f>(C16*1000)/SUM('Population Figures'!$E18:$G18)</f>
        <v>1.7702778906466612</v>
      </c>
      <c r="R16" s="8">
        <f>(D16*1000)/SUM('Population Figures'!$E18)</f>
        <v>2.1085216492514189</v>
      </c>
      <c r="S16" s="8">
        <f>(E16*1000)/SUM('Population Figures'!$E18)</f>
        <v>640.95224461517239</v>
      </c>
      <c r="T16" s="7">
        <f>(F16*1000)/SUM('Population Figures'!$G18)</f>
        <v>1778.8285279035761</v>
      </c>
      <c r="U16" s="8">
        <f>(G16*1000)/SUM('Population Figures'!$F18)</f>
        <v>67.618474458305684</v>
      </c>
      <c r="V16" s="8">
        <f>(H16*1000)/SUM('Population Figures'!$F18)</f>
        <v>130.89617270260504</v>
      </c>
      <c r="W16" s="8">
        <f>(I16*1000)/SUM('Population Figures'!$F18)</f>
        <v>40.623860069682578</v>
      </c>
      <c r="X16" s="8">
        <f>(J16*1000)/SUM('Population Figures'!$F18)</f>
        <v>6.1747211798023534</v>
      </c>
      <c r="Y16" s="7">
        <f>(K16*1000)/SUM('Population Figures'!$F18)</f>
        <v>3.958154602437406E-2</v>
      </c>
      <c r="Z16" s="7">
        <f>(L16*1000)/SUM('Population Figures'!$F18)</f>
        <v>0</v>
      </c>
      <c r="AA16" s="7">
        <f>(M16*1000)/SUM('Population Figures'!$F18)</f>
        <v>25.279414060900237</v>
      </c>
    </row>
    <row r="17" spans="1:27">
      <c r="A17" s="7" t="s">
        <v>44</v>
      </c>
      <c r="B17" s="8">
        <f t="shared" si="1"/>
        <v>193307.61363923497</v>
      </c>
      <c r="C17" s="7">
        <f t="shared" si="1"/>
        <v>884.3820274401802</v>
      </c>
      <c r="D17" s="8">
        <f t="shared" si="1"/>
        <v>121.98372792278347</v>
      </c>
      <c r="E17" s="8">
        <f t="shared" si="1"/>
        <v>32526.961050610211</v>
      </c>
      <c r="F17" s="7">
        <f t="shared" si="1"/>
        <v>95738.928860196611</v>
      </c>
      <c r="G17" s="8">
        <f t="shared" si="1"/>
        <v>17255.818151956948</v>
      </c>
      <c r="H17" s="8">
        <f t="shared" si="1"/>
        <v>32874.614675190147</v>
      </c>
      <c r="I17" s="8">
        <f t="shared" si="1"/>
        <v>6007.6986001970863</v>
      </c>
      <c r="J17" s="8">
        <f t="shared" si="1"/>
        <v>1044.1807110190266</v>
      </c>
      <c r="K17" s="7">
        <f t="shared" si="1"/>
        <v>89.048121383631937</v>
      </c>
      <c r="L17" s="7">
        <f t="shared" si="1"/>
        <v>0</v>
      </c>
      <c r="M17" s="7">
        <f t="shared" si="1"/>
        <v>6763.9977133183438</v>
      </c>
      <c r="O17" s="7" t="s">
        <v>44</v>
      </c>
      <c r="P17" s="8">
        <f>(B17*1000)/SUM('Population Figures'!$E19:$G19)</f>
        <v>545.14273445920742</v>
      </c>
      <c r="Q17" s="7">
        <f>(C17*1000)/SUM('Population Figures'!$E19:$G19)</f>
        <v>2.4940271501415121</v>
      </c>
      <c r="R17" s="8">
        <f>(D17*1000)/SUM('Population Figures'!$E19)</f>
        <v>1.6063383495013559</v>
      </c>
      <c r="S17" s="8">
        <f>(E17*1000)/SUM('Population Figures'!$E19)</f>
        <v>428.33012089453655</v>
      </c>
      <c r="T17" s="7">
        <f>(F17*1000)/SUM('Population Figures'!$G19)</f>
        <v>1632.3773036691664</v>
      </c>
      <c r="U17" s="8">
        <f>(G17*1000)/SUM('Population Figures'!$F19)</f>
        <v>78.431615473576088</v>
      </c>
      <c r="V17" s="8">
        <f>(H17*1000)/SUM('Population Figures'!$F19)</f>
        <v>149.42259557563096</v>
      </c>
      <c r="W17" s="8">
        <f>(I17*1000)/SUM('Population Figures'!$F19)</f>
        <v>27.306355592207144</v>
      </c>
      <c r="X17" s="8">
        <f>(J17*1000)/SUM('Population Figures'!$F19)</f>
        <v>4.7460386572445312</v>
      </c>
      <c r="Y17" s="7">
        <f>(K17*1000)/SUM('Population Figures'!$F19)</f>
        <v>0.40474395090987242</v>
      </c>
      <c r="Z17" s="7">
        <f>(L17*1000)/SUM('Population Figures'!$F19)</f>
        <v>0</v>
      </c>
      <c r="AA17" s="7">
        <f>(M17*1000)/SUM('Population Figures'!$F19)</f>
        <v>30.743906956099213</v>
      </c>
    </row>
    <row r="18" spans="1:27">
      <c r="A18" s="7" t="s">
        <v>45</v>
      </c>
      <c r="B18" s="8">
        <f t="shared" si="1"/>
        <v>491289.46420901042</v>
      </c>
      <c r="C18" s="7">
        <f t="shared" si="1"/>
        <v>2037.1282563104839</v>
      </c>
      <c r="D18" s="8">
        <f t="shared" si="1"/>
        <v>384.24874295676796</v>
      </c>
      <c r="E18" s="8">
        <f t="shared" si="1"/>
        <v>135870.35550951315</v>
      </c>
      <c r="F18" s="7">
        <f t="shared" si="1"/>
        <v>160523.26692270767</v>
      </c>
      <c r="G18" s="8">
        <f t="shared" si="1"/>
        <v>37861.309472673536</v>
      </c>
      <c r="H18" s="8">
        <f t="shared" si="1"/>
        <v>72736.457285797325</v>
      </c>
      <c r="I18" s="8">
        <f t="shared" si="1"/>
        <v>48671.507441190603</v>
      </c>
      <c r="J18" s="8">
        <f t="shared" si="1"/>
        <v>13086.414331556211</v>
      </c>
      <c r="K18" s="7">
        <f t="shared" si="1"/>
        <v>91.487795942087601</v>
      </c>
      <c r="L18" s="7">
        <f t="shared" si="1"/>
        <v>2588.4947065214651</v>
      </c>
      <c r="M18" s="7">
        <f t="shared" si="1"/>
        <v>17438.793743841125</v>
      </c>
      <c r="O18" s="7" t="s">
        <v>45</v>
      </c>
      <c r="P18" s="8">
        <f>(B18*1000)/SUM('Population Figures'!$E20:$G20)</f>
        <v>850.46733292192846</v>
      </c>
      <c r="Q18" s="7">
        <f>(C18*1000)/SUM('Population Figures'!$E20:$G20)</f>
        <v>3.5264567249649175</v>
      </c>
      <c r="R18" s="8">
        <f>(D18*1000)/SUM('Population Figures'!$E20)</f>
        <v>3.3625800104729766</v>
      </c>
      <c r="S18" s="8">
        <f>(E18*1000)/SUM('Population Figures'!$E20)</f>
        <v>1189.0082917032444</v>
      </c>
      <c r="T18" s="7">
        <f>(F18*1000)/SUM('Population Figures'!$G20)</f>
        <v>1843.9081387004649</v>
      </c>
      <c r="U18" s="8">
        <f>(G18*1000)/SUM('Population Figures'!$F20)</f>
        <v>100.6034656580279</v>
      </c>
      <c r="V18" s="8">
        <f>(H18*1000)/SUM('Population Figures'!$F20)</f>
        <v>193.27222921118909</v>
      </c>
      <c r="W18" s="8">
        <f>(I18*1000)/SUM('Population Figures'!$F20)</f>
        <v>129.32786518961635</v>
      </c>
      <c r="X18" s="8">
        <f>(J18*1000)/SUM('Population Figures'!$F20)</f>
        <v>34.772665106621666</v>
      </c>
      <c r="Y18" s="7">
        <f>(K18*1000)/SUM('Population Figures'!$F20)</f>
        <v>0.24309749095792552</v>
      </c>
      <c r="Z18" s="7">
        <f>(L18*1000)/SUM('Population Figures'!$F20)</f>
        <v>6.878038344169572</v>
      </c>
      <c r="AA18" s="7">
        <f>(M18*1000)/SUM('Population Figures'!$F20)</f>
        <v>46.337623076460034</v>
      </c>
    </row>
    <row r="19" spans="1:27">
      <c r="A19" s="7" t="s">
        <v>46</v>
      </c>
      <c r="B19" s="8">
        <f t="shared" si="1"/>
        <v>123157.21138540065</v>
      </c>
      <c r="C19" s="7">
        <f t="shared" si="1"/>
        <v>417.18434949591949</v>
      </c>
      <c r="D19" s="8">
        <f t="shared" si="1"/>
        <v>114.66470424741647</v>
      </c>
      <c r="E19" s="8">
        <f t="shared" si="1"/>
        <v>22971.975642418583</v>
      </c>
      <c r="F19" s="7">
        <f t="shared" si="1"/>
        <v>65147.849571720966</v>
      </c>
      <c r="G19" s="8">
        <f t="shared" si="1"/>
        <v>6820.1102281628237</v>
      </c>
      <c r="H19" s="8">
        <f t="shared" si="1"/>
        <v>17302.171968567607</v>
      </c>
      <c r="I19" s="8">
        <f t="shared" si="1"/>
        <v>6700.5661747984959</v>
      </c>
      <c r="J19" s="8">
        <f t="shared" si="1"/>
        <v>949.03340323925534</v>
      </c>
      <c r="K19" s="7">
        <f t="shared" si="1"/>
        <v>0</v>
      </c>
      <c r="L19" s="7">
        <f t="shared" si="1"/>
        <v>0</v>
      </c>
      <c r="M19" s="7">
        <f t="shared" si="1"/>
        <v>2733.6553427495774</v>
      </c>
      <c r="O19" s="7" t="s">
        <v>46</v>
      </c>
      <c r="P19" s="8">
        <f>(B19*1000)/SUM('Population Figures'!$E21:$G21)</f>
        <v>582.74444679379508</v>
      </c>
      <c r="Q19" s="7">
        <f>(C19*1000)/SUM('Population Figures'!$E21:$G21)</f>
        <v>1.9739961649281701</v>
      </c>
      <c r="R19" s="8">
        <f>(D19*1000)/SUM('Population Figures'!$E21)</f>
        <v>2.5407082548008346</v>
      </c>
      <c r="S19" s="8">
        <f>(E19*1000)/SUM('Population Figures'!$E21)</f>
        <v>509.00657291924801</v>
      </c>
      <c r="T19" s="7">
        <f>(F19*1000)/SUM('Population Figures'!$G21)</f>
        <v>1779.4610792308586</v>
      </c>
      <c r="U19" s="8">
        <f>(G19*1000)/SUM('Population Figures'!$F21)</f>
        <v>52.625119432111788</v>
      </c>
      <c r="V19" s="8">
        <f>(H19*1000)/SUM('Population Figures'!$F21)</f>
        <v>133.50647362279977</v>
      </c>
      <c r="W19" s="8">
        <f>(I19*1000)/SUM('Population Figures'!$F21)</f>
        <v>51.702697378034351</v>
      </c>
      <c r="X19" s="8">
        <f>(J19*1000)/SUM('Population Figures'!$F21)</f>
        <v>7.3229016129821085</v>
      </c>
      <c r="Y19" s="7">
        <f>(K19*1000)/SUM('Population Figures'!$F21)</f>
        <v>0</v>
      </c>
      <c r="Z19" s="7">
        <f>(L19*1000)/SUM('Population Figures'!$F21)</f>
        <v>0</v>
      </c>
      <c r="AA19" s="7">
        <f>(M19*1000)/SUM('Population Figures'!$F21)</f>
        <v>21.093345134566718</v>
      </c>
    </row>
    <row r="20" spans="1:27">
      <c r="A20" s="7" t="s">
        <v>47</v>
      </c>
      <c r="B20" s="8">
        <f t="shared" si="1"/>
        <v>57855.662316496971</v>
      </c>
      <c r="C20" s="7">
        <f t="shared" si="1"/>
        <v>1017.3442908760142</v>
      </c>
      <c r="D20" s="8">
        <f t="shared" si="1"/>
        <v>26.836420143012361</v>
      </c>
      <c r="E20" s="8">
        <f t="shared" si="1"/>
        <v>12061.75101700483</v>
      </c>
      <c r="F20" s="7">
        <f t="shared" si="1"/>
        <v>27257.264004345965</v>
      </c>
      <c r="G20" s="8">
        <f t="shared" si="1"/>
        <v>4690.274338631024</v>
      </c>
      <c r="H20" s="8">
        <f t="shared" si="1"/>
        <v>7397.09326123759</v>
      </c>
      <c r="I20" s="8">
        <f t="shared" si="1"/>
        <v>2415.2778128711125</v>
      </c>
      <c r="J20" s="8">
        <f t="shared" si="1"/>
        <v>1046.6203855774822</v>
      </c>
      <c r="K20" s="7">
        <f t="shared" si="1"/>
        <v>0</v>
      </c>
      <c r="L20" s="7">
        <f t="shared" si="1"/>
        <v>0</v>
      </c>
      <c r="M20" s="7">
        <f t="shared" si="1"/>
        <v>1943.2007858099407</v>
      </c>
      <c r="O20" s="7" t="s">
        <v>47</v>
      </c>
      <c r="P20" s="8">
        <f>(B20*1000)/SUM('Population Figures'!$E22:$G22)</f>
        <v>701.87628674629343</v>
      </c>
      <c r="Q20" s="7">
        <f>(C20*1000)/SUM('Population Figures'!$E22:$G22)</f>
        <v>12.341917880335002</v>
      </c>
      <c r="R20" s="8">
        <f>(D20*1000)/SUM('Population Figures'!$E22)</f>
        <v>1.5347375124678235</v>
      </c>
      <c r="S20" s="8">
        <f>(E20*1000)/SUM('Population Figures'!$E22)</f>
        <v>689.79475105826555</v>
      </c>
      <c r="T20" s="7">
        <f>(F20*1000)/SUM('Population Figures'!$G22)</f>
        <v>1947.6430156731665</v>
      </c>
      <c r="U20" s="8">
        <f>(G20*1000)/SUM('Population Figures'!$F22)</f>
        <v>92.058221724293389</v>
      </c>
      <c r="V20" s="8">
        <f>(H20*1000)/SUM('Population Figures'!$F22)</f>
        <v>145.18623056856052</v>
      </c>
      <c r="W20" s="8">
        <f>(I20*1000)/SUM('Population Figures'!$F22)</f>
        <v>47.405794281950826</v>
      </c>
      <c r="X20" s="8">
        <f>(J20*1000)/SUM('Population Figures'!$F22)</f>
        <v>20.542510855512027</v>
      </c>
      <c r="Y20" s="7">
        <f>(K20*1000)/SUM('Population Figures'!$F22)</f>
        <v>0</v>
      </c>
      <c r="Z20" s="7">
        <f>(L20*1000)/SUM('Population Figures'!$F22)</f>
        <v>0</v>
      </c>
      <c r="AA20" s="7">
        <f>(M20*1000)/SUM('Population Figures'!$F22)</f>
        <v>38.140116308660438</v>
      </c>
    </row>
    <row r="21" spans="1:27">
      <c r="A21" s="7" t="s">
        <v>48</v>
      </c>
      <c r="B21" s="8">
        <f t="shared" si="1"/>
        <v>49782.779202567159</v>
      </c>
      <c r="C21" s="7">
        <f t="shared" si="1"/>
        <v>701.40643555600491</v>
      </c>
      <c r="D21" s="8">
        <f t="shared" si="1"/>
        <v>39.03479293529071</v>
      </c>
      <c r="E21" s="8">
        <f t="shared" si="1"/>
        <v>11216.40378249994</v>
      </c>
      <c r="F21" s="7">
        <f t="shared" si="1"/>
        <v>21872.902253834305</v>
      </c>
      <c r="G21" s="8">
        <f t="shared" si="1"/>
        <v>3305.759026707432</v>
      </c>
      <c r="H21" s="8">
        <f t="shared" si="1"/>
        <v>9751.37921014731</v>
      </c>
      <c r="I21" s="8">
        <f t="shared" si="1"/>
        <v>1412.5715693458326</v>
      </c>
      <c r="J21" s="8">
        <f t="shared" si="1"/>
        <v>618.45750056851216</v>
      </c>
      <c r="K21" s="7">
        <f t="shared" si="1"/>
        <v>0</v>
      </c>
      <c r="L21" s="7">
        <f t="shared" si="1"/>
        <v>3.6595118376835041</v>
      </c>
      <c r="M21" s="7">
        <f t="shared" si="1"/>
        <v>861.20511913485132</v>
      </c>
      <c r="O21" s="7" t="s">
        <v>48</v>
      </c>
      <c r="P21" s="8">
        <f>(B21*1000)/SUM('Population Figures'!$E23:$G23)</f>
        <v>625.33323957501773</v>
      </c>
      <c r="Q21" s="7">
        <f>(C21*1000)/SUM('Population Figures'!$E23:$G23)</f>
        <v>8.8105317869112536</v>
      </c>
      <c r="R21" s="8">
        <f>(D21*1000)/SUM('Population Figures'!$E23)</f>
        <v>2.1516256716619284</v>
      </c>
      <c r="S21" s="8">
        <f>(E21*1000)/SUM('Population Figures'!$E23)</f>
        <v>618.25618909160733</v>
      </c>
      <c r="T21" s="7">
        <f>(F21*1000)/SUM('Population Figures'!$G23)</f>
        <v>1756.8596187818719</v>
      </c>
      <c r="U21" s="8">
        <f>(G21*1000)/SUM('Population Figures'!$F23)</f>
        <v>67.439696166865886</v>
      </c>
      <c r="V21" s="8">
        <f>(H21*1000)/SUM('Population Figures'!$F23)</f>
        <v>198.9346609438841</v>
      </c>
      <c r="W21" s="8">
        <f>(I21*1000)/SUM('Population Figures'!$F23)</f>
        <v>28.817405225546381</v>
      </c>
      <c r="X21" s="8">
        <f>(J21*1000)/SUM('Population Figures'!$F23)</f>
        <v>12.616946847454244</v>
      </c>
      <c r="Y21" s="7">
        <f>(K21*1000)/SUM('Population Figures'!$F23)</f>
        <v>0</v>
      </c>
      <c r="Z21" s="7">
        <f>(L21*1000)/SUM('Population Figures'!$F23)</f>
        <v>7.4656490221622754E-2</v>
      </c>
      <c r="AA21" s="7">
        <f>(M21*1000)/SUM('Population Figures'!$F23)</f>
        <v>17.569160698821886</v>
      </c>
    </row>
    <row r="22" spans="1:27">
      <c r="A22" s="7" t="s">
        <v>49</v>
      </c>
      <c r="B22" s="8">
        <f t="shared" si="1"/>
        <v>44718.014819213189</v>
      </c>
      <c r="C22" s="7">
        <f t="shared" si="1"/>
        <v>97.586982338226775</v>
      </c>
      <c r="D22" s="8">
        <f t="shared" si="1"/>
        <v>62.211701240619568</v>
      </c>
      <c r="E22" s="8">
        <f t="shared" si="1"/>
        <v>10878.50885615383</v>
      </c>
      <c r="F22" s="7">
        <f t="shared" si="1"/>
        <v>20394.459471410169</v>
      </c>
      <c r="G22" s="8">
        <f t="shared" si="1"/>
        <v>3300.8796775905207</v>
      </c>
      <c r="H22" s="8">
        <f t="shared" si="1"/>
        <v>7053.0991484953402</v>
      </c>
      <c r="I22" s="8">
        <f t="shared" si="1"/>
        <v>2117.6375167395208</v>
      </c>
      <c r="J22" s="8">
        <f t="shared" si="1"/>
        <v>265.92452687166798</v>
      </c>
      <c r="K22" s="7">
        <f t="shared" si="1"/>
        <v>0</v>
      </c>
      <c r="L22" s="7">
        <f t="shared" si="1"/>
        <v>0</v>
      </c>
      <c r="M22" s="7">
        <f t="shared" si="1"/>
        <v>547.70693837329782</v>
      </c>
      <c r="O22" s="7" t="s">
        <v>49</v>
      </c>
      <c r="P22" s="8">
        <f>(B22*1000)/SUM('Population Figures'!$E24:$G24)</f>
        <v>515.54086718023041</v>
      </c>
      <c r="Q22" s="7">
        <f>(C22*1000)/SUM('Population Figures'!$E24:$G24)</f>
        <v>1.1250516755617568</v>
      </c>
      <c r="R22" s="8">
        <f>(D22*1000)/SUM('Population Figures'!$E24)</f>
        <v>3.2749895367771935</v>
      </c>
      <c r="S22" s="8">
        <f>(E22*1000)/SUM('Population Figures'!$E24)</f>
        <v>572.67366056821595</v>
      </c>
      <c r="T22" s="7">
        <f>(F22*1000)/SUM('Population Figures'!$G24)</f>
        <v>1366.6460813114099</v>
      </c>
      <c r="U22" s="8">
        <f>(G22*1000)/SUM('Population Figures'!$F24)</f>
        <v>62.491805864912074</v>
      </c>
      <c r="V22" s="8">
        <f>(H22*1000)/SUM('Population Figures'!$F24)</f>
        <v>133.52831541423564</v>
      </c>
      <c r="W22" s="8">
        <f>(I22*1000)/SUM('Population Figures'!$F24)</f>
        <v>40.090825935508995</v>
      </c>
      <c r="X22" s="8">
        <f>(J22*1000)/SUM('Population Figures'!$F24)</f>
        <v>5.0344470356802784</v>
      </c>
      <c r="Y22" s="7">
        <f>(K22*1000)/SUM('Population Figures'!$F24)</f>
        <v>0</v>
      </c>
      <c r="Z22" s="7">
        <f>(L22*1000)/SUM('Population Figures'!$F24)</f>
        <v>0</v>
      </c>
      <c r="AA22" s="7">
        <f>(M22*1000)/SUM('Population Figures'!$F24)</f>
        <v>10.36911339000204</v>
      </c>
    </row>
    <row r="23" spans="1:27">
      <c r="A23" s="7" t="s">
        <v>50</v>
      </c>
      <c r="B23" s="8">
        <f t="shared" si="1"/>
        <v>77588.969982565657</v>
      </c>
      <c r="C23" s="7">
        <f t="shared" si="1"/>
        <v>3095.9470146802446</v>
      </c>
      <c r="D23" s="8">
        <f t="shared" si="1"/>
        <v>236.64843217019992</v>
      </c>
      <c r="E23" s="8">
        <f t="shared" si="1"/>
        <v>16719.089749096704</v>
      </c>
      <c r="F23" s="7">
        <f t="shared" si="1"/>
        <v>39229.966899967163</v>
      </c>
      <c r="G23" s="8">
        <f t="shared" si="1"/>
        <v>2864.1779316269558</v>
      </c>
      <c r="H23" s="8">
        <f t="shared" si="1"/>
        <v>8749.892803901259</v>
      </c>
      <c r="I23" s="8">
        <f t="shared" si="1"/>
        <v>3058.1320590241817</v>
      </c>
      <c r="J23" s="8">
        <f t="shared" si="1"/>
        <v>1161.2850898248987</v>
      </c>
      <c r="K23" s="7">
        <f t="shared" si="1"/>
        <v>0</v>
      </c>
      <c r="L23" s="7">
        <f t="shared" si="1"/>
        <v>0</v>
      </c>
      <c r="M23" s="7">
        <f t="shared" si="1"/>
        <v>2473.8300022740486</v>
      </c>
      <c r="O23" s="7" t="s">
        <v>50</v>
      </c>
      <c r="P23" s="8">
        <f>(B23*1000)/SUM('Population Figures'!$E25:$G25)</f>
        <v>570.42324645321025</v>
      </c>
      <c r="Q23" s="7">
        <f>(C23*1000)/SUM('Population Figures'!$E25:$G25)</f>
        <v>22.760969083077814</v>
      </c>
      <c r="R23" s="8">
        <f>(D23*1000)/SUM('Population Figures'!$E25)</f>
        <v>7.9141339097786076</v>
      </c>
      <c r="S23" s="8">
        <f>(E23*1000)/SUM('Population Figures'!$E25)</f>
        <v>559.12948127538971</v>
      </c>
      <c r="T23" s="7">
        <f>(F23*1000)/SUM('Population Figures'!$G25)</f>
        <v>1704.4650199846699</v>
      </c>
      <c r="U23" s="8">
        <f>(G23*1000)/SUM('Population Figures'!$F25)</f>
        <v>34.465812274397202</v>
      </c>
      <c r="V23" s="8">
        <f>(H23*1000)/SUM('Population Figures'!$F25)</f>
        <v>105.29100146688718</v>
      </c>
      <c r="W23" s="8">
        <f>(I23*1000)/SUM('Population Figures'!$F25)</f>
        <v>36.799740788719667</v>
      </c>
      <c r="X23" s="8">
        <f>(J23*1000)/SUM('Population Figures'!$F25)</f>
        <v>13.974213494559681</v>
      </c>
      <c r="Y23" s="7">
        <f>(K23*1000)/SUM('Population Figures'!$F25)</f>
        <v>0</v>
      </c>
      <c r="Z23" s="7">
        <f>(L23*1000)/SUM('Population Figures'!$F25)</f>
        <v>0</v>
      </c>
      <c r="AA23" s="7">
        <f>(M23*1000)/SUM('Population Figures'!$F25)</f>
        <v>29.768597654377132</v>
      </c>
    </row>
    <row r="24" spans="1:27">
      <c r="A24" s="7" t="s">
        <v>51</v>
      </c>
      <c r="B24" s="8">
        <f t="shared" si="1"/>
        <v>201153.6070192284</v>
      </c>
      <c r="C24" s="7">
        <f t="shared" si="1"/>
        <v>648.95343254920806</v>
      </c>
      <c r="D24" s="8">
        <f t="shared" si="1"/>
        <v>100.02665689668244</v>
      </c>
      <c r="E24" s="8">
        <f t="shared" si="1"/>
        <v>25850.791621396274</v>
      </c>
      <c r="F24" s="7">
        <f t="shared" ref="C24:M35" si="2">F66*$C$39</f>
        <v>105514.70481592847</v>
      </c>
      <c r="G24" s="8">
        <f t="shared" si="2"/>
        <v>9143.9002450918488</v>
      </c>
      <c r="H24" s="8">
        <f t="shared" si="2"/>
        <v>41651.343899234416</v>
      </c>
      <c r="I24" s="8">
        <f t="shared" si="2"/>
        <v>4504.8590721883938</v>
      </c>
      <c r="J24" s="8">
        <f t="shared" si="2"/>
        <v>2727.5561563534384</v>
      </c>
      <c r="K24" s="7">
        <f t="shared" si="2"/>
        <v>0</v>
      </c>
      <c r="L24" s="7">
        <f t="shared" si="2"/>
        <v>142.72096166965665</v>
      </c>
      <c r="M24" s="7">
        <f t="shared" si="2"/>
        <v>10868.750157920007</v>
      </c>
      <c r="O24" s="7" t="s">
        <v>51</v>
      </c>
      <c r="P24" s="8">
        <f>(B24*1000)/SUM('Population Figures'!$E26:$G26)</f>
        <v>623.1717432982075</v>
      </c>
      <c r="Q24" s="7">
        <f>(C24*1000)/SUM('Population Figures'!$E26:$G26)</f>
        <v>2.0104508582955112</v>
      </c>
      <c r="R24" s="8">
        <f>(D24*1000)/SUM('Population Figures'!$E26)</f>
        <v>1.3734831435687649</v>
      </c>
      <c r="S24" s="8">
        <f>(E24*1000)/SUM('Population Figures'!$E26)</f>
        <v>354.9616436403569</v>
      </c>
      <c r="T24" s="7">
        <f>(F24*1000)/SUM('Population Figures'!$G26)</f>
        <v>2288.7229364437221</v>
      </c>
      <c r="U24" s="8">
        <f>(G24*1000)/SUM('Population Figures'!$F26)</f>
        <v>44.853602430537713</v>
      </c>
      <c r="V24" s="8">
        <f>(H24*1000)/SUM('Population Figures'!$F26)</f>
        <v>204.31246731466251</v>
      </c>
      <c r="W24" s="8">
        <f>(I24*1000)/SUM('Population Figures'!$F26)</f>
        <v>22.097699276410861</v>
      </c>
      <c r="X24" s="8">
        <f>(J24*1000)/SUM('Population Figures'!$F26)</f>
        <v>13.379489732481634</v>
      </c>
      <c r="Y24" s="7">
        <f>(K24*1000)/SUM('Population Figures'!$F26)</f>
        <v>0</v>
      </c>
      <c r="Z24" s="7">
        <f>(L24*1000)/SUM('Population Figures'!$F26)</f>
        <v>0.70008957902520175</v>
      </c>
      <c r="AA24" s="7">
        <f>(M24*1000)/SUM('Population Figures'!$F26)</f>
        <v>53.314514094996134</v>
      </c>
    </row>
    <row r="25" spans="1:27">
      <c r="A25" s="7" t="s">
        <v>52</v>
      </c>
      <c r="B25" s="8">
        <f t="shared" si="1"/>
        <v>17385.1209035551</v>
      </c>
      <c r="C25" s="7">
        <f t="shared" si="2"/>
        <v>1163.7247643833543</v>
      </c>
      <c r="D25" s="8">
        <f t="shared" si="2"/>
        <v>64.65137579907524</v>
      </c>
      <c r="E25" s="8">
        <f t="shared" si="2"/>
        <v>2648.266733203629</v>
      </c>
      <c r="F25" s="7">
        <f t="shared" si="2"/>
        <v>9202.452434494784</v>
      </c>
      <c r="G25" s="8">
        <f t="shared" si="2"/>
        <v>1060.0385956489883</v>
      </c>
      <c r="H25" s="8">
        <f t="shared" si="2"/>
        <v>2117.6375167395208</v>
      </c>
      <c r="I25" s="8">
        <f t="shared" si="2"/>
        <v>619.67733784773998</v>
      </c>
      <c r="J25" s="8">
        <f t="shared" si="2"/>
        <v>78.06958587058142</v>
      </c>
      <c r="K25" s="7">
        <f t="shared" si="2"/>
        <v>0</v>
      </c>
      <c r="L25" s="7">
        <f t="shared" si="2"/>
        <v>0</v>
      </c>
      <c r="M25" s="7">
        <f t="shared" si="2"/>
        <v>430.60255956742566</v>
      </c>
      <c r="O25" s="7" t="s">
        <v>52</v>
      </c>
      <c r="P25" s="8">
        <f>(B25*1000)/SUM('Population Figures'!$E27:$G27)</f>
        <v>891.54466172077434</v>
      </c>
      <c r="Q25" s="7">
        <f>(C25*1000)/SUM('Population Figures'!$E27:$G27)</f>
        <v>59.678193045300219</v>
      </c>
      <c r="R25" s="8">
        <f>(D25*1000)/SUM('Population Figures'!$E27)</f>
        <v>15.284013191270743</v>
      </c>
      <c r="S25" s="8">
        <f>(E25*1000)/SUM('Population Figures'!$E27)</f>
        <v>626.06778562733552</v>
      </c>
      <c r="T25" s="7">
        <f>(F25*1000)/SUM('Population Figures'!$G27)</f>
        <v>2692.3500393489712</v>
      </c>
      <c r="U25" s="8">
        <f>(G25*1000)/SUM('Population Figures'!$F27)</f>
        <v>89.439638512401984</v>
      </c>
      <c r="V25" s="8">
        <f>(H25*1000)/SUM('Population Figures'!$F27)</f>
        <v>178.67343205699635</v>
      </c>
      <c r="W25" s="8">
        <f>(I25*1000)/SUM('Population Figures'!$F27)</f>
        <v>52.284621823130266</v>
      </c>
      <c r="X25" s="8">
        <f>(J25*1000)/SUM('Population Figures'!$F27)</f>
        <v>6.5870389698431842</v>
      </c>
      <c r="Y25" s="7">
        <f>(K25*1000)/SUM('Population Figures'!$F27)</f>
        <v>0</v>
      </c>
      <c r="Z25" s="7">
        <f>(L25*1000)/SUM('Population Figures'!$F27)</f>
        <v>0</v>
      </c>
      <c r="AA25" s="7">
        <f>(M25*1000)/SUM('Population Figures'!$F27)</f>
        <v>36.331636818041311</v>
      </c>
    </row>
    <row r="26" spans="1:27">
      <c r="A26" s="7" t="s">
        <v>53</v>
      </c>
      <c r="B26" s="8">
        <f t="shared" si="1"/>
        <v>75906.814374510475</v>
      </c>
      <c r="C26" s="7">
        <f t="shared" si="2"/>
        <v>512.33165727569053</v>
      </c>
      <c r="D26" s="8">
        <f t="shared" si="2"/>
        <v>0</v>
      </c>
      <c r="E26" s="8">
        <f t="shared" si="2"/>
        <v>13026.642304874047</v>
      </c>
      <c r="F26" s="7">
        <f t="shared" si="2"/>
        <v>41248.797597089229</v>
      </c>
      <c r="G26" s="8">
        <f t="shared" si="2"/>
        <v>2237.181570103849</v>
      </c>
      <c r="H26" s="8">
        <f t="shared" si="2"/>
        <v>12378.908709604066</v>
      </c>
      <c r="I26" s="8">
        <f t="shared" si="2"/>
        <v>4051.0796043156388</v>
      </c>
      <c r="J26" s="8">
        <f t="shared" si="2"/>
        <v>631.87571064001838</v>
      </c>
      <c r="K26" s="7">
        <f t="shared" si="2"/>
        <v>0</v>
      </c>
      <c r="L26" s="7">
        <f t="shared" si="2"/>
        <v>0</v>
      </c>
      <c r="M26" s="7">
        <f t="shared" si="2"/>
        <v>1819.9972206079294</v>
      </c>
      <c r="O26" s="7" t="s">
        <v>53</v>
      </c>
      <c r="P26" s="8">
        <f>(B26*1000)/SUM('Population Figures'!$E28:$G28)</f>
        <v>552.33074564877018</v>
      </c>
      <c r="Q26" s="7">
        <f>(C26*1000)/SUM('Population Figures'!$E28:$G28)</f>
        <v>3.7279462801112606</v>
      </c>
      <c r="R26" s="8">
        <f>(D26*1000)/SUM('Population Figures'!$E28)</f>
        <v>0</v>
      </c>
      <c r="S26" s="8">
        <f>(E26*1000)/SUM('Population Figures'!$E28)</f>
        <v>451.71795217678226</v>
      </c>
      <c r="T26" s="7">
        <f>(F26*1000)/SUM('Population Figures'!$G28)</f>
        <v>1564.9441382915711</v>
      </c>
      <c r="U26" s="8">
        <f>(G26*1000)/SUM('Population Figures'!$F28)</f>
        <v>27.205068099616323</v>
      </c>
      <c r="V26" s="8">
        <f>(H26*1000)/SUM('Population Figures'!$F28)</f>
        <v>150.53273232001442</v>
      </c>
      <c r="W26" s="8">
        <f>(I26*1000)/SUM('Population Figures'!$F28)</f>
        <v>49.26283051190066</v>
      </c>
      <c r="X26" s="8">
        <f>(J26*1000)/SUM('Population Figures'!$F28)</f>
        <v>7.6838741960748393</v>
      </c>
      <c r="Y26" s="7">
        <f>(K26*1000)/SUM('Population Figures'!$F28)</f>
        <v>0</v>
      </c>
      <c r="Z26" s="7">
        <f>(L26*1000)/SUM('Population Figures'!$F28)</f>
        <v>0</v>
      </c>
      <c r="AA26" s="7">
        <f>(M26*1000)/SUM('Population Figures'!$F28)</f>
        <v>22.13193108213062</v>
      </c>
    </row>
    <row r="27" spans="1:27">
      <c r="A27" s="7" t="s">
        <v>54</v>
      </c>
      <c r="B27" s="8">
        <f t="shared" si="1"/>
        <v>114127.97584455622</v>
      </c>
      <c r="C27" s="7">
        <f t="shared" si="2"/>
        <v>396.44711574904625</v>
      </c>
      <c r="D27" s="8">
        <f t="shared" si="2"/>
        <v>0</v>
      </c>
      <c r="E27" s="8">
        <f t="shared" si="2"/>
        <v>24354.051279783718</v>
      </c>
      <c r="F27" s="7">
        <f t="shared" si="2"/>
        <v>50008.449099224308</v>
      </c>
      <c r="G27" s="8">
        <f t="shared" si="2"/>
        <v>8092.400510397455</v>
      </c>
      <c r="H27" s="8">
        <f t="shared" si="2"/>
        <v>21338.613525532513</v>
      </c>
      <c r="I27" s="8">
        <f t="shared" si="2"/>
        <v>5550.2596204866477</v>
      </c>
      <c r="J27" s="8">
        <f t="shared" si="2"/>
        <v>1862.6915253809036</v>
      </c>
      <c r="K27" s="7">
        <f t="shared" si="2"/>
        <v>0</v>
      </c>
      <c r="L27" s="7">
        <f t="shared" si="2"/>
        <v>0</v>
      </c>
      <c r="M27" s="7">
        <f t="shared" si="2"/>
        <v>2525.0631680016177</v>
      </c>
      <c r="O27" s="7" t="s">
        <v>54</v>
      </c>
      <c r="P27" s="8">
        <f>(B27*1000)/SUM('Population Figures'!$E29:$G29)</f>
        <v>668.94071768686604</v>
      </c>
      <c r="Q27" s="7">
        <f>(C27*1000)/SUM('Population Figures'!$E29:$G29)</f>
        <v>2.3237038611397121</v>
      </c>
      <c r="R27" s="8">
        <f>(D27*1000)/SUM('Population Figures'!$E29)</f>
        <v>0</v>
      </c>
      <c r="S27" s="8">
        <f>(E27*1000)/SUM('Population Figures'!$E29)</f>
        <v>670.91050357530901</v>
      </c>
      <c r="T27" s="7">
        <f>(F27*1000)/SUM('Population Figures'!$G29)</f>
        <v>1846.8977028187874</v>
      </c>
      <c r="U27" s="8">
        <f>(G27*1000)/SUM('Population Figures'!$F29)</f>
        <v>75.465579722636264</v>
      </c>
      <c r="V27" s="8">
        <f>(H27*1000)/SUM('Population Figures'!$F29)</f>
        <v>198.99297348327954</v>
      </c>
      <c r="W27" s="8">
        <f>(I27*1000)/SUM('Population Figures'!$F29)</f>
        <v>51.758876656315202</v>
      </c>
      <c r="X27" s="8">
        <f>(J27*1000)/SUM('Population Figures'!$F29)</f>
        <v>17.370506517405122</v>
      </c>
      <c r="Y27" s="7">
        <f>(K27*1000)/SUM('Population Figures'!$F29)</f>
        <v>0</v>
      </c>
      <c r="Z27" s="7">
        <f>(L27*1000)/SUM('Population Figures'!$F29)</f>
        <v>0</v>
      </c>
      <c r="AA27" s="7">
        <f>(M27*1000)/SUM('Population Figures'!$F29)</f>
        <v>23.547444984301642</v>
      </c>
    </row>
    <row r="28" spans="1:27">
      <c r="A28" s="7" t="s">
        <v>55</v>
      </c>
      <c r="B28" s="8">
        <f t="shared" si="1"/>
        <v>65813.88072617937</v>
      </c>
      <c r="C28" s="7">
        <f t="shared" si="2"/>
        <v>852.66625818025648</v>
      </c>
      <c r="D28" s="8">
        <f t="shared" si="2"/>
        <v>90.267958662859769</v>
      </c>
      <c r="E28" s="8">
        <f t="shared" si="2"/>
        <v>11293.253531091294</v>
      </c>
      <c r="F28" s="7">
        <f t="shared" si="2"/>
        <v>32158.570192283405</v>
      </c>
      <c r="G28" s="8">
        <f t="shared" si="2"/>
        <v>5596.6134370973059</v>
      </c>
      <c r="H28" s="8">
        <f t="shared" si="2"/>
        <v>11787.287629178567</v>
      </c>
      <c r="I28" s="8">
        <f t="shared" si="2"/>
        <v>2570.1971473330477</v>
      </c>
      <c r="J28" s="8">
        <f t="shared" si="2"/>
        <v>201.27315107259273</v>
      </c>
      <c r="K28" s="7">
        <f t="shared" si="2"/>
        <v>0</v>
      </c>
      <c r="L28" s="7">
        <f t="shared" si="2"/>
        <v>25.616582863784529</v>
      </c>
      <c r="M28" s="7">
        <f t="shared" si="2"/>
        <v>1238.1348384162523</v>
      </c>
      <c r="O28" s="7" t="s">
        <v>55</v>
      </c>
      <c r="P28" s="8">
        <f>(B28*1000)/SUM('Population Figures'!$E30:$G30)</f>
        <v>602.30512241401459</v>
      </c>
      <c r="Q28" s="7">
        <f>(C28*1000)/SUM('Population Figures'!$E30:$G30)</f>
        <v>7.8032969541526169</v>
      </c>
      <c r="R28" s="8">
        <f>(D28*1000)/SUM('Population Figures'!$E30)</f>
        <v>3.9397677489027485</v>
      </c>
      <c r="S28" s="8">
        <f>(E28*1000)/SUM('Population Figures'!$E30)</f>
        <v>492.89688945056275</v>
      </c>
      <c r="T28" s="7">
        <f>(F28*1000)/SUM('Population Figures'!$G30)</f>
        <v>1532.4550961297787</v>
      </c>
      <c r="U28" s="8">
        <f>(G28*1000)/SUM('Population Figures'!$F30)</f>
        <v>85.610472780770451</v>
      </c>
      <c r="V28" s="8">
        <f>(H28*1000)/SUM('Population Figures'!$F30)</f>
        <v>180.30819496089467</v>
      </c>
      <c r="W28" s="8">
        <f>(I28*1000)/SUM('Population Figures'!$F30)</f>
        <v>39.315881898230884</v>
      </c>
      <c r="X28" s="8">
        <f>(J28*1000)/SUM('Population Figures'!$F30)</f>
        <v>3.0788421989597041</v>
      </c>
      <c r="Y28" s="7">
        <f>(K28*1000)/SUM('Population Figures'!$F30)</f>
        <v>0</v>
      </c>
      <c r="Z28" s="7">
        <f>(L28*1000)/SUM('Population Figures'!$F30)</f>
        <v>0.39185264350396232</v>
      </c>
      <c r="AA28" s="7">
        <f>(M28*1000)/SUM('Population Figures'!$F30)</f>
        <v>18.939544436024846</v>
      </c>
    </row>
    <row r="29" spans="1:27">
      <c r="A29" s="7" t="s">
        <v>56</v>
      </c>
      <c r="B29" s="8">
        <f t="shared" si="1"/>
        <v>17956.004750233726</v>
      </c>
      <c r="C29" s="7">
        <f t="shared" si="2"/>
        <v>224.45005937792158</v>
      </c>
      <c r="D29" s="8">
        <f t="shared" si="2"/>
        <v>48.793491169113388</v>
      </c>
      <c r="E29" s="8">
        <f t="shared" si="2"/>
        <v>4052.2994415948669</v>
      </c>
      <c r="F29" s="7">
        <f t="shared" si="2"/>
        <v>7941.1406877732043</v>
      </c>
      <c r="G29" s="8">
        <f t="shared" si="2"/>
        <v>1183.2421608509997</v>
      </c>
      <c r="H29" s="8">
        <f t="shared" si="2"/>
        <v>3343.5739823634949</v>
      </c>
      <c r="I29" s="8">
        <f t="shared" si="2"/>
        <v>786.79504510195341</v>
      </c>
      <c r="J29" s="8">
        <f t="shared" si="2"/>
        <v>79.289423149809252</v>
      </c>
      <c r="K29" s="7">
        <f t="shared" si="2"/>
        <v>0</v>
      </c>
      <c r="L29" s="7">
        <f t="shared" si="2"/>
        <v>0</v>
      </c>
      <c r="M29" s="7">
        <f t="shared" si="2"/>
        <v>296.42045885236382</v>
      </c>
      <c r="O29" s="7" t="s">
        <v>56</v>
      </c>
      <c r="P29" s="8">
        <f>(B29*1000)/SUM('Population Figures'!$E31:$G31)</f>
        <v>818.41407248102666</v>
      </c>
      <c r="Q29" s="7">
        <f>(C29*1000)/SUM('Population Figures'!$E31:$G31)</f>
        <v>10.230175906012834</v>
      </c>
      <c r="R29" s="8">
        <f>(D29*1000)/SUM('Population Figures'!$E31)</f>
        <v>9.3761512623200218</v>
      </c>
      <c r="S29" s="8">
        <f>(E29*1000)/SUM('Population Figures'!$E31)</f>
        <v>778.68936233567774</v>
      </c>
      <c r="T29" s="7">
        <f>(F29*1000)/SUM('Population Figures'!$G31)</f>
        <v>2453.2408673998161</v>
      </c>
      <c r="U29" s="8">
        <f>(G29*1000)/SUM('Population Figures'!$F31)</f>
        <v>87.654060363804703</v>
      </c>
      <c r="V29" s="8">
        <f>(H29*1000)/SUM('Population Figures'!$F31)</f>
        <v>247.69049428576153</v>
      </c>
      <c r="W29" s="8">
        <f>(I29*1000)/SUM('Population Figures'!$F31)</f>
        <v>58.285431891395916</v>
      </c>
      <c r="X29" s="8">
        <f>(J29*1000)/SUM('Population Figures'!$F31)</f>
        <v>5.8737256944817586</v>
      </c>
      <c r="Y29" s="7">
        <f>(K29*1000)/SUM('Population Figures'!$F31)</f>
        <v>0</v>
      </c>
      <c r="Z29" s="7">
        <f>(L29*1000)/SUM('Population Figures'!$F31)</f>
        <v>0</v>
      </c>
      <c r="AA29" s="7">
        <f>(M29*1000)/SUM('Population Figures'!$F31)</f>
        <v>21.958697596293341</v>
      </c>
    </row>
    <row r="30" spans="1:27">
      <c r="A30" s="7" t="s">
        <v>57</v>
      </c>
      <c r="B30" s="8">
        <f t="shared" si="1"/>
        <v>69829.585049397399</v>
      </c>
      <c r="C30" s="7">
        <f t="shared" si="2"/>
        <v>47.573653889885556</v>
      </c>
      <c r="D30" s="8">
        <f t="shared" si="2"/>
        <v>37.814955656062878</v>
      </c>
      <c r="E30" s="8">
        <f t="shared" si="2"/>
        <v>16427.548639361248</v>
      </c>
      <c r="F30" s="7">
        <f t="shared" si="2"/>
        <v>37645.398274250205</v>
      </c>
      <c r="G30" s="8">
        <f t="shared" si="2"/>
        <v>3825.4097076584894</v>
      </c>
      <c r="H30" s="8">
        <f t="shared" si="2"/>
        <v>8735.2547565505247</v>
      </c>
      <c r="I30" s="8">
        <f t="shared" si="2"/>
        <v>1184.4619981302276</v>
      </c>
      <c r="J30" s="8">
        <f t="shared" si="2"/>
        <v>279.34273694317415</v>
      </c>
      <c r="K30" s="7">
        <f t="shared" si="2"/>
        <v>0</v>
      </c>
      <c r="L30" s="7">
        <f t="shared" si="2"/>
        <v>0</v>
      </c>
      <c r="M30" s="7">
        <f t="shared" si="2"/>
        <v>1646.7803269575768</v>
      </c>
      <c r="O30" s="7" t="s">
        <v>57</v>
      </c>
      <c r="P30" s="8">
        <f>(B30*1000)/SUM('Population Figures'!$E32:$G32)</f>
        <v>624.31457353059807</v>
      </c>
      <c r="Q30" s="7">
        <f>(C30*1000)/SUM('Population Figures'!$E32:$G32)</f>
        <v>0.42533441117465853</v>
      </c>
      <c r="R30" s="8">
        <f>(D30*1000)/SUM('Population Figures'!$E32)</f>
        <v>1.707221474314351</v>
      </c>
      <c r="S30" s="8">
        <f>(E30*1000)/SUM('Population Figures'!$E32)</f>
        <v>741.65005143843098</v>
      </c>
      <c r="T30" s="7">
        <f>(F30*1000)/SUM('Population Figures'!$G32)</f>
        <v>1703.4887675573648</v>
      </c>
      <c r="U30" s="8">
        <f>(G30*1000)/SUM('Population Figures'!$F32)</f>
        <v>56.588063899328255</v>
      </c>
      <c r="V30" s="8">
        <f>(H30*1000)/SUM('Population Figures'!$F32)</f>
        <v>129.21783341297501</v>
      </c>
      <c r="W30" s="8">
        <f>(I30*1000)/SUM('Population Figures'!$F32)</f>
        <v>17.521367999441246</v>
      </c>
      <c r="X30" s="8">
        <f>(J30*1000)/SUM('Population Figures'!$F32)</f>
        <v>4.1322278804037538</v>
      </c>
      <c r="Y30" s="7">
        <f>(K30*1000)/SUM('Population Figures'!$F32)</f>
        <v>0</v>
      </c>
      <c r="Z30" s="7">
        <f>(L30*1000)/SUM('Population Figures'!$F32)</f>
        <v>0</v>
      </c>
      <c r="AA30" s="7">
        <f>(M30*1000)/SUM('Population Figures'!$F32)</f>
        <v>24.360295364825618</v>
      </c>
    </row>
    <row r="31" spans="1:27">
      <c r="A31" s="7" t="s">
        <v>58</v>
      </c>
      <c r="B31" s="8">
        <f t="shared" si="1"/>
        <v>156252.61660813104</v>
      </c>
      <c r="C31" s="7">
        <f t="shared" si="2"/>
        <v>2194.4872653308748</v>
      </c>
      <c r="D31" s="8">
        <f t="shared" si="2"/>
        <v>106.12584329282161</v>
      </c>
      <c r="E31" s="8">
        <f t="shared" si="2"/>
        <v>27262.143353462878</v>
      </c>
      <c r="F31" s="7">
        <f t="shared" si="2"/>
        <v>78697.802069383761</v>
      </c>
      <c r="G31" s="8">
        <f t="shared" si="2"/>
        <v>5935.728200722644</v>
      </c>
      <c r="H31" s="8">
        <f t="shared" si="2"/>
        <v>31351.037913434579</v>
      </c>
      <c r="I31" s="8">
        <f t="shared" si="2"/>
        <v>4675.6362912802906</v>
      </c>
      <c r="J31" s="8">
        <f t="shared" si="2"/>
        <v>1061.2584329282163</v>
      </c>
      <c r="K31" s="7">
        <f t="shared" si="2"/>
        <v>0</v>
      </c>
      <c r="L31" s="7">
        <f t="shared" si="2"/>
        <v>0</v>
      </c>
      <c r="M31" s="7">
        <f t="shared" si="2"/>
        <v>4968.3972382949705</v>
      </c>
      <c r="O31" s="7" t="s">
        <v>58</v>
      </c>
      <c r="P31" s="8">
        <f>(B31*1000)/SUM('Population Figures'!$E33:$G33)</f>
        <v>511.61591502613226</v>
      </c>
      <c r="Q31" s="7">
        <f>(C31*1000)/SUM('Population Figures'!$E33:$G33)</f>
        <v>7.1853811772072778</v>
      </c>
      <c r="R31" s="8">
        <f>(D31*1000)/SUM('Population Figures'!$E33)</f>
        <v>1.6072367604546665</v>
      </c>
      <c r="S31" s="8">
        <f>(E31*1000)/SUM('Population Figures'!$E33)</f>
        <v>412.87510757932574</v>
      </c>
      <c r="T31" s="7">
        <f>(F31*1000)/SUM('Population Figures'!$G33)</f>
        <v>1636.6393276361393</v>
      </c>
      <c r="U31" s="8">
        <f>(G31*1000)/SUM('Population Figures'!$F33)</f>
        <v>31.029186339019024</v>
      </c>
      <c r="V31" s="8">
        <f>(H31*1000)/SUM('Population Figures'!$F33)</f>
        <v>163.8884336414155</v>
      </c>
      <c r="W31" s="8">
        <f>(I31*1000)/SUM('Population Figures'!$F33)</f>
        <v>24.442020394052594</v>
      </c>
      <c r="X31" s="8">
        <f>(J31*1000)/SUM('Population Figures'!$F33)</f>
        <v>5.5477583466803431</v>
      </c>
      <c r="Y31" s="7">
        <f>(K31*1000)/SUM('Population Figures'!$F33)</f>
        <v>0</v>
      </c>
      <c r="Z31" s="7">
        <f>(L31*1000)/SUM('Population Figures'!$F33)</f>
        <v>0</v>
      </c>
      <c r="AA31" s="7">
        <f>(M31*1000)/SUM('Population Figures'!$F33)</f>
        <v>25.972436489688544</v>
      </c>
    </row>
    <row r="32" spans="1:27">
      <c r="A32" s="7" t="s">
        <v>59</v>
      </c>
      <c r="B32" s="8">
        <f t="shared" si="1"/>
        <v>50085.298847815662</v>
      </c>
      <c r="C32" s="7">
        <f t="shared" si="2"/>
        <v>390.3479293529071</v>
      </c>
      <c r="D32" s="8">
        <f t="shared" si="2"/>
        <v>0</v>
      </c>
      <c r="E32" s="8">
        <f t="shared" si="2"/>
        <v>9679.4088106728686</v>
      </c>
      <c r="F32" s="7">
        <f t="shared" si="2"/>
        <v>24589.479874674693</v>
      </c>
      <c r="G32" s="8">
        <f t="shared" si="2"/>
        <v>3092.287502842561</v>
      </c>
      <c r="H32" s="8">
        <f t="shared" si="2"/>
        <v>7645.940066200068</v>
      </c>
      <c r="I32" s="8">
        <f t="shared" si="2"/>
        <v>2279.8758748768232</v>
      </c>
      <c r="J32" s="8">
        <f t="shared" si="2"/>
        <v>494.03409808727304</v>
      </c>
      <c r="K32" s="7">
        <f t="shared" si="2"/>
        <v>0</v>
      </c>
      <c r="L32" s="7">
        <f t="shared" si="2"/>
        <v>0</v>
      </c>
      <c r="M32" s="7">
        <f t="shared" si="2"/>
        <v>1913.9246911084726</v>
      </c>
      <c r="O32" s="7" t="s">
        <v>59</v>
      </c>
      <c r="P32" s="8">
        <f>(B32*1000)/SUM('Population Figures'!$E34:$G34)</f>
        <v>579.89231038341632</v>
      </c>
      <c r="Q32" s="7">
        <f>(C32*1000)/SUM('Population Figures'!$E34:$G34)</f>
        <v>4.519485114656792</v>
      </c>
      <c r="R32" s="8">
        <f>(D32*1000)/SUM('Population Figures'!$E34)</f>
        <v>0</v>
      </c>
      <c r="S32" s="8">
        <f>(E32*1000)/SUM('Population Figures'!$E34)</f>
        <v>514.12380149109617</v>
      </c>
      <c r="T32" s="7">
        <f>(F32*1000)/SUM('Population Figures'!$G34)</f>
        <v>1761.045611593117</v>
      </c>
      <c r="U32" s="8">
        <f>(G32*1000)/SUM('Population Figures'!$F34)</f>
        <v>57.71346589851737</v>
      </c>
      <c r="V32" s="8">
        <f>(H32*1000)/SUM('Population Figures'!$F34)</f>
        <v>142.70138234789226</v>
      </c>
      <c r="W32" s="8">
        <f>(I32*1000)/SUM('Population Figures'!$F34)</f>
        <v>42.550874857723464</v>
      </c>
      <c r="X32" s="8">
        <f>(J32*1000)/SUM('Population Figures'!$F34)</f>
        <v>9.2204945518341361</v>
      </c>
      <c r="Y32" s="7">
        <f>(K32*1000)/SUM('Population Figures'!$F34)</f>
        <v>0</v>
      </c>
      <c r="Z32" s="7">
        <f>(L32*1000)/SUM('Population Figures'!$F34)</f>
        <v>0</v>
      </c>
      <c r="AA32" s="7">
        <f>(M32*1000)/SUM('Population Figures'!$F34)</f>
        <v>35.720878893401881</v>
      </c>
    </row>
    <row r="33" spans="1:27">
      <c r="A33" s="7" t="s">
        <v>60</v>
      </c>
      <c r="B33" s="8">
        <f t="shared" si="1"/>
        <v>74008.747568031962</v>
      </c>
      <c r="C33" s="7">
        <f t="shared" si="2"/>
        <v>664.81131717916992</v>
      </c>
      <c r="D33" s="8">
        <f t="shared" si="2"/>
        <v>53.672840286024723</v>
      </c>
      <c r="E33" s="8">
        <f t="shared" si="2"/>
        <v>15671.249526239992</v>
      </c>
      <c r="F33" s="7">
        <f t="shared" si="2"/>
        <v>30221.468592869605</v>
      </c>
      <c r="G33" s="8">
        <f t="shared" si="2"/>
        <v>5606.3721353311284</v>
      </c>
      <c r="H33" s="8">
        <f t="shared" si="2"/>
        <v>14022.029524723959</v>
      </c>
      <c r="I33" s="8">
        <f t="shared" si="2"/>
        <v>6143.1005381913756</v>
      </c>
      <c r="J33" s="8">
        <f t="shared" si="2"/>
        <v>1369.8772645728584</v>
      </c>
      <c r="K33" s="7">
        <f t="shared" si="2"/>
        <v>112.22502968896079</v>
      </c>
      <c r="L33" s="7">
        <f t="shared" si="2"/>
        <v>143.94079894888449</v>
      </c>
      <c r="M33" s="7">
        <f t="shared" si="2"/>
        <v>0</v>
      </c>
      <c r="O33" s="7" t="s">
        <v>60</v>
      </c>
      <c r="P33" s="8">
        <f>(B33*1000)/SUM('Population Figures'!$E35:$G35)</f>
        <v>804.70531225434343</v>
      </c>
      <c r="Q33" s="7">
        <f>(C33*1000)/SUM('Population Figures'!$E35:$G35)</f>
        <v>7.2285671107879743</v>
      </c>
      <c r="R33" s="8">
        <f>(D33*1000)/SUM('Population Figures'!$E35)</f>
        <v>2.7062391108770596</v>
      </c>
      <c r="S33" s="8">
        <f>(E33*1000)/SUM('Population Figures'!$E35)</f>
        <v>790.16031494176332</v>
      </c>
      <c r="T33" s="7">
        <f>(F33*1000)/SUM('Population Figures'!$G35)</f>
        <v>2054.903691634569</v>
      </c>
      <c r="U33" s="8">
        <f>(G33*1000)/SUM('Population Figures'!$F35)</f>
        <v>97.62096700907415</v>
      </c>
      <c r="V33" s="8">
        <f>(H33*1000)/SUM('Population Figures'!$F35)</f>
        <v>244.1586196190834</v>
      </c>
      <c r="W33" s="8">
        <f>(I33*1000)/SUM('Population Figures'!$F35)</f>
        <v>106.96675149210125</v>
      </c>
      <c r="X33" s="8">
        <f>(J33*1000)/SUM('Population Figures'!$F35)</f>
        <v>23.852990850998751</v>
      </c>
      <c r="Y33" s="7">
        <f>(K33*1000)/SUM('Population Figures'!$F35)</f>
        <v>1.9541185737238513</v>
      </c>
      <c r="Z33" s="7">
        <f>(L33*1000)/SUM('Population Figures'!$F35)</f>
        <v>2.5063694749936358</v>
      </c>
      <c r="AA33" s="7">
        <f>(M33*1000)/SUM('Population Figures'!$F35)</f>
        <v>0</v>
      </c>
    </row>
    <row r="34" spans="1:27">
      <c r="A34" s="7" t="s">
        <v>61</v>
      </c>
      <c r="B34" s="8">
        <f t="shared" si="1"/>
        <v>73807.474416959361</v>
      </c>
      <c r="C34" s="7">
        <f t="shared" si="2"/>
        <v>2915.4110973545248</v>
      </c>
      <c r="D34" s="8">
        <f t="shared" si="2"/>
        <v>92.707633221315433</v>
      </c>
      <c r="E34" s="8">
        <f t="shared" si="2"/>
        <v>18042.613197058901</v>
      </c>
      <c r="F34" s="7">
        <f t="shared" si="2"/>
        <v>29462.729805189891</v>
      </c>
      <c r="G34" s="8">
        <f t="shared" si="2"/>
        <v>5264.8176971473349</v>
      </c>
      <c r="H34" s="8">
        <f t="shared" si="2"/>
        <v>11618.950084645125</v>
      </c>
      <c r="I34" s="8">
        <f t="shared" si="2"/>
        <v>3781.4955656062875</v>
      </c>
      <c r="J34" s="8">
        <f t="shared" si="2"/>
        <v>761.17846223816889</v>
      </c>
      <c r="K34" s="7">
        <f t="shared" si="2"/>
        <v>9.7586982338226775</v>
      </c>
      <c r="L34" s="7">
        <f t="shared" si="2"/>
        <v>4.8793491169113388</v>
      </c>
      <c r="M34" s="7">
        <f t="shared" si="2"/>
        <v>1852.9328271470808</v>
      </c>
      <c r="O34" s="7" t="s">
        <v>61</v>
      </c>
      <c r="P34" s="8">
        <f>(B34*1000)/SUM('Population Figures'!$E36:$G36)</f>
        <v>453.251500963887</v>
      </c>
      <c r="Q34" s="7">
        <f>(C34*1000)/SUM('Population Figures'!$E36:$G36)</f>
        <v>17.9035316713002</v>
      </c>
      <c r="R34" s="8">
        <f>(D34*1000)/SUM('Population Figures'!$E36)</f>
        <v>2.3821885865127177</v>
      </c>
      <c r="S34" s="8">
        <f>(E34*1000)/SUM('Population Figures'!$E36)</f>
        <v>463.61778135670534</v>
      </c>
      <c r="T34" s="7">
        <f>(F34*1000)/SUM('Population Figures'!$G36)</f>
        <v>1488.242148062327</v>
      </c>
      <c r="U34" s="8">
        <f>(G34*1000)/SUM('Population Figures'!$F36)</f>
        <v>50.561989293234497</v>
      </c>
      <c r="V34" s="8">
        <f>(H34*1000)/SUM('Population Figures'!$F36)</f>
        <v>111.58548378546304</v>
      </c>
      <c r="W34" s="8">
        <f>(I34*1000)/SUM('Population Figures'!$F36)</f>
        <v>36.316535405242568</v>
      </c>
      <c r="X34" s="8">
        <f>(J34*1000)/SUM('Population Figures'!$F36)</f>
        <v>7.310167126732698</v>
      </c>
      <c r="Y34" s="7">
        <f>(K34*1000)/SUM('Population Figures'!$F36)</f>
        <v>9.3720091368367911E-2</v>
      </c>
      <c r="Z34" s="7">
        <f>(L34*1000)/SUM('Population Figures'!$F36)</f>
        <v>4.6860045684183955E-2</v>
      </c>
      <c r="AA34" s="7">
        <f>(M34*1000)/SUM('Population Figures'!$F36)</f>
        <v>17.795102348568857</v>
      </c>
    </row>
    <row r="35" spans="1:27">
      <c r="A35" s="52" t="s">
        <v>62</v>
      </c>
      <c r="B35" s="53">
        <f t="shared" si="1"/>
        <v>3197356.9670515712</v>
      </c>
      <c r="C35" s="52">
        <f t="shared" si="2"/>
        <v>30171.455264421264</v>
      </c>
      <c r="D35" s="53">
        <f t="shared" si="2"/>
        <v>2792.2075321525135</v>
      </c>
      <c r="E35" s="53">
        <f t="shared" si="2"/>
        <v>660546.76605098939</v>
      </c>
      <c r="F35" s="52">
        <f t="shared" si="2"/>
        <v>1454137.524635521</v>
      </c>
      <c r="G35" s="53">
        <f t="shared" si="2"/>
        <v>205548.68073628627</v>
      </c>
      <c r="H35" s="53">
        <f t="shared" si="2"/>
        <v>535659.82540364366</v>
      </c>
      <c r="I35" s="53">
        <f t="shared" si="2"/>
        <v>161658.93542966878</v>
      </c>
      <c r="J35" s="53">
        <f t="shared" si="2"/>
        <v>42178.313603860843</v>
      </c>
      <c r="K35" s="52">
        <f t="shared" si="2"/>
        <v>2731.2156681911219</v>
      </c>
      <c r="L35" s="52">
        <f t="shared" si="2"/>
        <v>4105.9722818808914</v>
      </c>
      <c r="M35" s="52">
        <f t="shared" si="2"/>
        <v>97826.070444955432</v>
      </c>
      <c r="O35" s="52" t="s">
        <v>5</v>
      </c>
      <c r="P35" s="53">
        <f>(B35*1000)/SUM('Population Figures'!$E37:$G37)</f>
        <v>629.59927675086078</v>
      </c>
      <c r="Q35" s="52">
        <f>(C35*1000)/SUM('Population Figures'!$E37:$G37)</f>
        <v>5.9411340706563607</v>
      </c>
      <c r="R35" s="53">
        <f>(D35*1000)/SUM('Population Figures'!$E37)</f>
        <v>2.6177452802077856</v>
      </c>
      <c r="S35" s="53">
        <f>(E35*1000)/SUM('Population Figures'!$E37)</f>
        <v>619.27459161801517</v>
      </c>
      <c r="T35" s="52">
        <f>(F35*1000)/SUM('Population Figures'!$G37)</f>
        <v>1759.2771006316841</v>
      </c>
      <c r="U35" s="53">
        <f>(G35*1000)/SUM('Population Figures'!$F37)</f>
        <v>64.532425196623848</v>
      </c>
      <c r="V35" s="53">
        <f>(H35*1000)/SUM('Population Figures'!$F37)</f>
        <v>168.17148857329011</v>
      </c>
      <c r="W35" s="53">
        <f>(I35*1000)/SUM('Population Figures'!$F37)</f>
        <v>50.753150643497669</v>
      </c>
      <c r="X35" s="53">
        <f>(J35*1000)/SUM('Population Figures'!$F37)</f>
        <v>13.24196709903957</v>
      </c>
      <c r="Y35" s="52">
        <f>(K35*1000)/SUM('Population Figures'!$F37)</f>
        <v>0.85747069828931366</v>
      </c>
      <c r="Z35" s="52">
        <f>(L35*1000)/SUM('Population Figures'!$F37)</f>
        <v>1.2890783253424876</v>
      </c>
      <c r="AA35" s="52">
        <f>(M35*1000)/SUM('Population Figures'!$F37)</f>
        <v>30.712693220191962</v>
      </c>
    </row>
    <row r="37" spans="1:27" ht="13.5" thickBot="1"/>
    <row r="38" spans="1:27">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27" ht="13.5" thickBot="1">
      <c r="A39" s="556" t="s">
        <v>374</v>
      </c>
      <c r="B39" s="560">
        <f>Deflators!$K$2/Deflators!B2</f>
        <v>1.2578653222339471</v>
      </c>
      <c r="C39" s="561">
        <f>Deflators!$K$2/Deflators!C2</f>
        <v>1.2198372792278347</v>
      </c>
      <c r="D39" s="565">
        <f>Deflators!$K$2/Deflators!D2</f>
        <v>1.1851747290380392</v>
      </c>
      <c r="E39" s="565">
        <f>Deflators!$K$2/Deflators!E2</f>
        <v>1.1511498980650239</v>
      </c>
      <c r="F39" s="565">
        <f>Deflators!$K$2/Deflators!F2</f>
        <v>1.1192446793712618</v>
      </c>
      <c r="G39" s="565">
        <f>Deflators!$K$2/Deflators!G2</f>
        <v>1.0903639628245232</v>
      </c>
      <c r="H39" s="565">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27">
      <c r="N40" s="233"/>
      <c r="S40" s="11"/>
      <c r="V40" s="11"/>
      <c r="W40" s="11"/>
      <c r="X40" s="149"/>
    </row>
    <row r="41" spans="1:27">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63.75">
      <c r="A44" s="21" t="s">
        <v>26</v>
      </c>
      <c r="B44" s="10" t="s">
        <v>9</v>
      </c>
      <c r="C44" s="9" t="s">
        <v>10</v>
      </c>
      <c r="D44" s="10" t="s">
        <v>11</v>
      </c>
      <c r="E44" s="10" t="s">
        <v>12</v>
      </c>
      <c r="F44" s="9" t="s">
        <v>14</v>
      </c>
      <c r="G44" s="10" t="s">
        <v>15</v>
      </c>
      <c r="H44" s="10" t="s">
        <v>16</v>
      </c>
      <c r="I44" s="10" t="s">
        <v>17</v>
      </c>
      <c r="J44" s="446" t="s">
        <v>351</v>
      </c>
      <c r="K44" s="44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27">
      <c r="A45" s="7" t="s">
        <v>31</v>
      </c>
      <c r="B45" s="425">
        <v>121870</v>
      </c>
      <c r="C45" s="280">
        <v>500</v>
      </c>
      <c r="D45" s="425">
        <v>0</v>
      </c>
      <c r="E45" s="425">
        <v>24569</v>
      </c>
      <c r="F45" s="280">
        <v>50956</v>
      </c>
      <c r="G45" s="425">
        <v>8832</v>
      </c>
      <c r="H45" s="425">
        <v>22196</v>
      </c>
      <c r="I45" s="425">
        <v>8325</v>
      </c>
      <c r="J45" s="425">
        <v>2877</v>
      </c>
      <c r="K45" s="280">
        <v>0</v>
      </c>
      <c r="L45" s="280">
        <v>13</v>
      </c>
      <c r="M45" s="280">
        <v>3602</v>
      </c>
      <c r="N45" s="233"/>
      <c r="O45" s="7" t="s">
        <v>31</v>
      </c>
      <c r="P45" s="425">
        <f>(B45*1000)/SUM('Population Figures'!$E5:$G5)</f>
        <v>592.43595352680961</v>
      </c>
      <c r="Q45" s="280">
        <f>(C45/SUM('Population Figures'!E5:G5))*1000</f>
        <v>2.4306061931845804</v>
      </c>
      <c r="R45" s="425">
        <f>(D45/'Population Figures'!E5)*1000</f>
        <v>0</v>
      </c>
      <c r="S45" s="425">
        <f>(E45/'Population Figures'!E5)*1000</f>
        <v>652.54574911688928</v>
      </c>
      <c r="T45" s="280">
        <f>(F45/'Population Figures'!G5)*1000</f>
        <v>1576.4625808247997</v>
      </c>
      <c r="U45" s="425">
        <f>(G45/'Population Figures'!F5)*1000</f>
        <v>65.067483939411787</v>
      </c>
      <c r="V45" s="425">
        <f>(H45/'Population Figures'!F5)*1000</f>
        <v>163.52330995461779</v>
      </c>
      <c r="W45" s="425">
        <f>(I45/'Population Figures'!F5)*1000</f>
        <v>61.332292096422464</v>
      </c>
      <c r="X45" s="500">
        <f>(J45/'Population Figures'!F5)*1000</f>
        <v>21.195556079448341</v>
      </c>
      <c r="Y45" s="186">
        <f>(K45/'Population Figures'!F5)*1000</f>
        <v>0</v>
      </c>
      <c r="Z45" s="186">
        <f>(L45/'Population Figures'!F5)*1000</f>
        <v>9.5774149820239282E-2</v>
      </c>
      <c r="AA45" s="501">
        <f>(M45/'Population Figures'!F5)*1000</f>
        <v>26.536806742500147</v>
      </c>
    </row>
    <row r="46" spans="1:27">
      <c r="A46" s="7" t="s">
        <v>32</v>
      </c>
      <c r="B46" s="425">
        <v>101844</v>
      </c>
      <c r="C46" s="280">
        <v>933</v>
      </c>
      <c r="D46" s="425">
        <v>99</v>
      </c>
      <c r="E46" s="425">
        <v>16979</v>
      </c>
      <c r="F46" s="280">
        <v>48554</v>
      </c>
      <c r="G46" s="425">
        <v>3725</v>
      </c>
      <c r="H46" s="425">
        <v>24528</v>
      </c>
      <c r="I46" s="425">
        <v>3741</v>
      </c>
      <c r="J46" s="425">
        <v>1415</v>
      </c>
      <c r="K46" s="280">
        <v>0</v>
      </c>
      <c r="L46" s="280">
        <v>0</v>
      </c>
      <c r="M46" s="280">
        <v>1870</v>
      </c>
      <c r="N46" s="233"/>
      <c r="O46" s="7" t="s">
        <v>32</v>
      </c>
      <c r="P46" s="425">
        <f>(B46*1000)/SUM('Population Figures'!$E6:$G6)</f>
        <v>439.79790128254956</v>
      </c>
      <c r="Q46" s="280">
        <f>(C46/SUM('Population Figures'!E6:G6))*1000</f>
        <v>4.0290193030185257</v>
      </c>
      <c r="R46" s="425">
        <f>(D46/'Population Figures'!E6)*1000</f>
        <v>1.8729071681265252</v>
      </c>
      <c r="S46" s="425">
        <f>(E46/'Population Figures'!E6)*1000</f>
        <v>321.21303846081082</v>
      </c>
      <c r="T46" s="280">
        <f>(F46/'Population Figures'!G6)*1000</f>
        <v>1390.953103961956</v>
      </c>
      <c r="U46" s="425">
        <f>(G46/'Population Figures'!F6)*1000</f>
        <v>25.903312842480041</v>
      </c>
      <c r="V46" s="425">
        <f>(H46/'Population Figures'!F6)*1000</f>
        <v>170.56549191955716</v>
      </c>
      <c r="W46" s="425">
        <f>(I46/'Population Figures'!F6)*1000</f>
        <v>26.014575394286666</v>
      </c>
      <c r="X46" s="500">
        <f>(J46/'Population Figures'!F6)*1000</f>
        <v>9.8397819253984604</v>
      </c>
      <c r="Y46" s="186">
        <f>(K46/'Population Figures'!F6)*1000</f>
        <v>0</v>
      </c>
      <c r="Z46" s="186">
        <f>(L46/'Population Figures'!F6)*1000</f>
        <v>0</v>
      </c>
      <c r="AA46" s="501">
        <f>(M46/'Population Figures'!F6)*1000</f>
        <v>13.003810742399377</v>
      </c>
    </row>
    <row r="47" spans="1:27">
      <c r="A47" s="7" t="s">
        <v>33</v>
      </c>
      <c r="B47" s="425">
        <v>52579</v>
      </c>
      <c r="C47" s="280">
        <v>187</v>
      </c>
      <c r="D47" s="425">
        <v>132</v>
      </c>
      <c r="E47" s="425">
        <v>10659</v>
      </c>
      <c r="F47" s="280">
        <v>30179</v>
      </c>
      <c r="G47" s="425">
        <v>2644</v>
      </c>
      <c r="H47" s="425">
        <v>6358</v>
      </c>
      <c r="I47" s="425">
        <v>942</v>
      </c>
      <c r="J47" s="425">
        <v>269</v>
      </c>
      <c r="K47" s="280">
        <v>5</v>
      </c>
      <c r="L47" s="280">
        <v>0</v>
      </c>
      <c r="M47" s="280">
        <v>1204</v>
      </c>
      <c r="N47" s="233"/>
      <c r="O47" s="7" t="s">
        <v>33</v>
      </c>
      <c r="P47" s="425">
        <f>(B47*1000)/SUM('Population Figures'!$E7:$G7)</f>
        <v>485.26995846792801</v>
      </c>
      <c r="Q47" s="280">
        <f>(C47/SUM('Population Figures'!E7:G7))*1000</f>
        <v>1.7258883248730963</v>
      </c>
      <c r="R47" s="425">
        <f>(D47/'Population Figures'!E7)*1000</f>
        <v>5.7785754935866569</v>
      </c>
      <c r="S47" s="425">
        <f>(E47/'Population Figures'!E7)*1000</f>
        <v>466.61997110712258</v>
      </c>
      <c r="T47" s="280">
        <f>(F47/'Population Figures'!G7)*1000</f>
        <v>1492.6059646866809</v>
      </c>
      <c r="U47" s="425">
        <f>(G47/'Population Figures'!F7)*1000</f>
        <v>40.497488052934692</v>
      </c>
      <c r="V47" s="425">
        <f>(H47/'Population Figures'!F7)*1000</f>
        <v>97.383899031981372</v>
      </c>
      <c r="W47" s="425">
        <f>(I47/'Population Figures'!F7)*1000</f>
        <v>14.428378875137852</v>
      </c>
      <c r="X47" s="500">
        <f>(J47/'Population Figures'!F7)*1000</f>
        <v>4.1202058571253524</v>
      </c>
      <c r="Y47" s="186">
        <f>(K47/'Population Figures'!F7)*1000</f>
        <v>7.6583751991177548E-2</v>
      </c>
      <c r="Z47" s="186">
        <f>(L47/'Population Figures'!F7)*1000</f>
        <v>0</v>
      </c>
      <c r="AA47" s="501">
        <f>(M47/'Population Figures'!F7)*1000</f>
        <v>18.441367479475552</v>
      </c>
    </row>
    <row r="48" spans="1:27">
      <c r="A48" s="7" t="s">
        <v>34</v>
      </c>
      <c r="B48" s="425">
        <v>56013</v>
      </c>
      <c r="C48" s="280">
        <v>719</v>
      </c>
      <c r="D48" s="425">
        <v>74</v>
      </c>
      <c r="E48" s="425">
        <v>8329</v>
      </c>
      <c r="F48" s="280">
        <v>28016</v>
      </c>
      <c r="G48" s="425">
        <v>814</v>
      </c>
      <c r="H48" s="425">
        <v>13309</v>
      </c>
      <c r="I48" s="425">
        <v>4506</v>
      </c>
      <c r="J48" s="425">
        <v>251</v>
      </c>
      <c r="K48" s="280">
        <v>0</v>
      </c>
      <c r="L48" s="280">
        <v>0</v>
      </c>
      <c r="M48" s="280">
        <v>-5</v>
      </c>
      <c r="N48" s="233"/>
      <c r="O48" s="7" t="s">
        <v>34</v>
      </c>
      <c r="P48" s="425">
        <f>(B48*1000)/SUM('Population Figures'!$E8:$G8)</f>
        <v>614.24498300252219</v>
      </c>
      <c r="Q48" s="280">
        <f>(C48/SUM('Population Figures'!E8:G8))*1000</f>
        <v>7.8846364732975109</v>
      </c>
      <c r="R48" s="425">
        <f>(D48/'Population Figures'!E8)*1000</f>
        <v>3.9654895236053802</v>
      </c>
      <c r="S48" s="425">
        <f>(E48/'Population Figures'!E8)*1000</f>
        <v>446.33192219066501</v>
      </c>
      <c r="T48" s="280">
        <f>(F48/'Population Figures'!G8)*1000</f>
        <v>1583.0037292349416</v>
      </c>
      <c r="U48" s="425">
        <f>(G48/'Population Figures'!F8)*1000</f>
        <v>14.845616530794624</v>
      </c>
      <c r="V48" s="425">
        <f>(H48/'Population Figures'!F8)*1000</f>
        <v>242.72765406430668</v>
      </c>
      <c r="W48" s="425">
        <f>(I48/'Population Figures'!F8)*1000</f>
        <v>82.179788805602669</v>
      </c>
      <c r="X48" s="500">
        <f>(J48/'Population Figures'!F8)*1000</f>
        <v>4.5777023946307747</v>
      </c>
      <c r="Y48" s="186">
        <f>(K48/'Population Figures'!F8)*1000</f>
        <v>0</v>
      </c>
      <c r="Z48" s="186">
        <f>(L48/'Population Figures'!F8)*1000</f>
        <v>0</v>
      </c>
      <c r="AA48" s="501">
        <f>(M48/'Population Figures'!F8)*1000</f>
        <v>-9.1189290729696698E-2</v>
      </c>
    </row>
    <row r="49" spans="1:27">
      <c r="A49" s="7" t="s">
        <v>35</v>
      </c>
      <c r="B49" s="425">
        <v>23111</v>
      </c>
      <c r="C49" s="280">
        <v>527</v>
      </c>
      <c r="D49" s="425">
        <v>18</v>
      </c>
      <c r="E49" s="425">
        <v>4552</v>
      </c>
      <c r="F49" s="280">
        <v>10823</v>
      </c>
      <c r="G49" s="425">
        <v>2195</v>
      </c>
      <c r="H49" s="425">
        <v>2913</v>
      </c>
      <c r="I49" s="425">
        <v>992</v>
      </c>
      <c r="J49" s="425">
        <v>72</v>
      </c>
      <c r="K49" s="280">
        <v>0</v>
      </c>
      <c r="L49" s="280">
        <v>0</v>
      </c>
      <c r="M49" s="280">
        <v>1019</v>
      </c>
      <c r="N49" s="233"/>
      <c r="O49" s="7" t="s">
        <v>35</v>
      </c>
      <c r="P49" s="425">
        <f>(B49*1000)/SUM('Population Figures'!$E9:$G9)</f>
        <v>479.08374792703148</v>
      </c>
      <c r="Q49" s="280">
        <f>(C49/SUM('Population Figures'!E9:G9))*1000</f>
        <v>10.924543946932006</v>
      </c>
      <c r="R49" s="425">
        <f>(D49/'Population Figures'!E9)*1000</f>
        <v>1.6615895873719191</v>
      </c>
      <c r="S49" s="425">
        <f>(E49/'Population Figures'!E9)*1000</f>
        <v>420.19754453983199</v>
      </c>
      <c r="T49" s="280">
        <f>(F49/'Population Figures'!G9)*1000</f>
        <v>1480.1695842450765</v>
      </c>
      <c r="U49" s="425">
        <f>(G49/'Population Figures'!F9)*1000</f>
        <v>72.93570360525004</v>
      </c>
      <c r="V49" s="425">
        <f>(H49/'Population Figures'!F9)*1000</f>
        <v>96.79348729024754</v>
      </c>
      <c r="W49" s="425">
        <f>(I49/'Population Figures'!F9)*1000</f>
        <v>32.962286094035555</v>
      </c>
      <c r="X49" s="500">
        <f>(J49/'Population Figures'!F9)*1000</f>
        <v>2.3924239906961287</v>
      </c>
      <c r="Y49" s="186">
        <f>(K49/'Population Figures'!F9)*1000</f>
        <v>0</v>
      </c>
      <c r="Z49" s="186">
        <f>(L49/'Population Figures'!F9)*1000</f>
        <v>0</v>
      </c>
      <c r="AA49" s="501">
        <f>(M49/'Population Figures'!F9)*1000</f>
        <v>33.8594450905466</v>
      </c>
    </row>
    <row r="50" spans="1:27">
      <c r="A50" s="7" t="s">
        <v>36</v>
      </c>
      <c r="B50" s="425">
        <v>73121</v>
      </c>
      <c r="C50" s="280">
        <v>816</v>
      </c>
      <c r="D50" s="425">
        <v>86</v>
      </c>
      <c r="E50" s="425">
        <v>14225</v>
      </c>
      <c r="F50" s="280">
        <v>38274</v>
      </c>
      <c r="G50" s="425">
        <v>5398</v>
      </c>
      <c r="H50" s="425">
        <v>9288</v>
      </c>
      <c r="I50" s="425">
        <v>2605</v>
      </c>
      <c r="J50" s="425">
        <v>441</v>
      </c>
      <c r="K50" s="280">
        <v>1</v>
      </c>
      <c r="L50" s="280">
        <v>0</v>
      </c>
      <c r="M50" s="280">
        <v>1987</v>
      </c>
      <c r="N50" s="233"/>
      <c r="O50" s="7" t="s">
        <v>36</v>
      </c>
      <c r="P50" s="425">
        <f>(B50*1000)/SUM('Population Figures'!$E10:$G10)</f>
        <v>494.29459879672817</v>
      </c>
      <c r="Q50" s="280">
        <f>(C50/SUM('Population Figures'!E10:G10))*1000</f>
        <v>5.5161224903670654</v>
      </c>
      <c r="R50" s="425">
        <f>(D50/'Population Figures'!E10)*1000</f>
        <v>2.8519316862875144</v>
      </c>
      <c r="S50" s="425">
        <f>(E50/'Population Figures'!E10)*1000</f>
        <v>471.72939810976624</v>
      </c>
      <c r="T50" s="280">
        <f>(F50/'Population Figures'!G10)*1000</f>
        <v>1282.6837360501358</v>
      </c>
      <c r="U50" s="425">
        <f>(G50/'Population Figures'!F10)*1000</f>
        <v>61.385553129548761</v>
      </c>
      <c r="V50" s="425">
        <f>(H50/'Population Figures'!F10)*1000</f>
        <v>105.62227074235808</v>
      </c>
      <c r="W50" s="425">
        <f>(I50/'Population Figures'!F10)*1000</f>
        <v>29.623817321688502</v>
      </c>
      <c r="X50" s="500">
        <f>(J50/'Population Figures'!F10)*1000</f>
        <v>5.0150109170305681</v>
      </c>
      <c r="Y50" s="186">
        <f>(K50/'Population Figures'!F10)*1000</f>
        <v>1.1371906841339156E-2</v>
      </c>
      <c r="Z50" s="186">
        <f>(L50/'Population Figures'!F10)*1000</f>
        <v>0</v>
      </c>
      <c r="AA50" s="501">
        <f>(M50/'Population Figures'!F10)*1000</f>
        <v>22.595978893740902</v>
      </c>
    </row>
    <row r="51" spans="1:27">
      <c r="A51" s="7" t="s">
        <v>37</v>
      </c>
      <c r="B51" s="425">
        <v>83302</v>
      </c>
      <c r="C51" s="280">
        <v>727</v>
      </c>
      <c r="D51" s="425">
        <v>160</v>
      </c>
      <c r="E51" s="425">
        <v>22295</v>
      </c>
      <c r="F51" s="280">
        <v>37344</v>
      </c>
      <c r="G51" s="425">
        <v>5934</v>
      </c>
      <c r="H51" s="425">
        <v>9980</v>
      </c>
      <c r="I51" s="425">
        <v>2042</v>
      </c>
      <c r="J51" s="425">
        <v>512</v>
      </c>
      <c r="K51" s="280">
        <v>169</v>
      </c>
      <c r="L51" s="280">
        <v>0</v>
      </c>
      <c r="M51" s="280">
        <v>4139</v>
      </c>
      <c r="N51" s="233"/>
      <c r="O51" s="7" t="s">
        <v>37</v>
      </c>
      <c r="P51" s="425">
        <f>(B51*1000)/SUM('Population Figures'!$E11:$G11)</f>
        <v>585.93233452908487</v>
      </c>
      <c r="Q51" s="280">
        <f>(C51/SUM('Population Figures'!E11:G11))*1000</f>
        <v>5.1135963986776396</v>
      </c>
      <c r="R51" s="425">
        <f>(D51/'Population Figures'!E11)*1000</f>
        <v>5.7275818865222838</v>
      </c>
      <c r="S51" s="425">
        <f>(E51/'Population Figures'!E11)*1000</f>
        <v>798.10273850008946</v>
      </c>
      <c r="T51" s="280">
        <f>(F51/'Population Figures'!G11)*1000</f>
        <v>1450.6467777648293</v>
      </c>
      <c r="U51" s="425">
        <f>(G51/'Population Figures'!F11)*1000</f>
        <v>67.056909099127608</v>
      </c>
      <c r="V51" s="425">
        <f>(H51/'Population Figures'!F11)*1000</f>
        <v>112.77855625367265</v>
      </c>
      <c r="W51" s="425">
        <f>(I51/'Population Figures'!F11)*1000</f>
        <v>23.07553225150296</v>
      </c>
      <c r="X51" s="500">
        <f>(J51/'Population Figures'!F11)*1000</f>
        <v>5.7858337476834061</v>
      </c>
      <c r="Y51" s="186">
        <f>(K51/'Population Figures'!F11)*1000</f>
        <v>1.9097771549970619</v>
      </c>
      <c r="Z51" s="186">
        <f>(L51/'Population Figures'!F11)*1000</f>
        <v>0</v>
      </c>
      <c r="AA51" s="501">
        <f>(M51/'Population Figures'!F11)*1000</f>
        <v>46.772589612620344</v>
      </c>
    </row>
    <row r="52" spans="1:27">
      <c r="A52" s="7" t="s">
        <v>38</v>
      </c>
      <c r="B52" s="425">
        <v>55903</v>
      </c>
      <c r="C52" s="280">
        <v>718</v>
      </c>
      <c r="D52" s="425">
        <v>97</v>
      </c>
      <c r="E52" s="425">
        <v>9081</v>
      </c>
      <c r="F52" s="280">
        <v>29098</v>
      </c>
      <c r="G52" s="425">
        <v>3143</v>
      </c>
      <c r="H52" s="425">
        <v>9260</v>
      </c>
      <c r="I52" s="425">
        <v>2375</v>
      </c>
      <c r="J52" s="425">
        <v>171</v>
      </c>
      <c r="K52" s="280">
        <v>0</v>
      </c>
      <c r="L52" s="280">
        <v>0</v>
      </c>
      <c r="M52" s="280">
        <v>1960</v>
      </c>
      <c r="N52" s="233"/>
      <c r="O52" s="7" t="s">
        <v>38</v>
      </c>
      <c r="P52" s="425">
        <f>(B52*1000)/SUM('Population Figures'!$E12:$G12)</f>
        <v>466.94787838289341</v>
      </c>
      <c r="Q52" s="280">
        <f>(C52/SUM('Population Figures'!E12:G12))*1000</f>
        <v>5.9973270965586369</v>
      </c>
      <c r="R52" s="425">
        <f>(D52/'Population Figures'!E12)*1000</f>
        <v>3.709085347200979</v>
      </c>
      <c r="S52" s="425">
        <f>(E52/'Population Figures'!E12)*1000</f>
        <v>347.2392168858978</v>
      </c>
      <c r="T52" s="280">
        <f>(F52/'Population Figures'!G12)*1000</f>
        <v>1478.8574913600326</v>
      </c>
      <c r="U52" s="425">
        <f>(G52/'Population Figures'!F12)*1000</f>
        <v>42.535051155740817</v>
      </c>
      <c r="V52" s="425">
        <f>(H52/'Population Figures'!F12)*1000</f>
        <v>125.31803172197262</v>
      </c>
      <c r="W52" s="425">
        <f>(I52/'Population Figures'!F12)*1000</f>
        <v>32.141503816380663</v>
      </c>
      <c r="X52" s="500">
        <f>(J52/'Population Figures'!F12)*1000</f>
        <v>2.3141882747794074</v>
      </c>
      <c r="Y52" s="186">
        <f>(K52/'Population Figures'!F12)*1000</f>
        <v>0</v>
      </c>
      <c r="Z52" s="186">
        <f>(L52/'Population Figures'!F12)*1000</f>
        <v>0</v>
      </c>
      <c r="AA52" s="501">
        <f>(M52/'Population Figures'!F12)*1000</f>
        <v>26.525198938992045</v>
      </c>
    </row>
    <row r="53" spans="1:27">
      <c r="A53" s="7" t="s">
        <v>39</v>
      </c>
      <c r="B53" s="425">
        <v>42350</v>
      </c>
      <c r="C53" s="280">
        <v>1621</v>
      </c>
      <c r="D53" s="425">
        <v>6</v>
      </c>
      <c r="E53" s="425">
        <v>6805</v>
      </c>
      <c r="F53" s="280">
        <v>16467</v>
      </c>
      <c r="G53" s="425">
        <v>2625</v>
      </c>
      <c r="H53" s="425">
        <v>11580</v>
      </c>
      <c r="I53" s="425">
        <v>3007</v>
      </c>
      <c r="J53" s="425">
        <v>239</v>
      </c>
      <c r="K53" s="280">
        <v>0</v>
      </c>
      <c r="L53" s="280">
        <v>0</v>
      </c>
      <c r="M53" s="280">
        <v>0</v>
      </c>
      <c r="N53" s="233"/>
      <c r="O53" s="7" t="s">
        <v>39</v>
      </c>
      <c r="P53" s="425">
        <f>(B53*1000)/SUM('Population Figures'!$E13:$G13)</f>
        <v>397.46597841389018</v>
      </c>
      <c r="Q53" s="280">
        <f>(C53/SUM('Population Figures'!E13:G13))*1000</f>
        <v>15.213514781792586</v>
      </c>
      <c r="R53" s="425">
        <f>(D53/'Population Figures'!E13)*1000</f>
        <v>0.25342118601115055</v>
      </c>
      <c r="S53" s="425">
        <f>(E53/'Population Figures'!E13)*1000</f>
        <v>287.42186180097991</v>
      </c>
      <c r="T53" s="280">
        <f>(F53/'Population Figures'!G13)*1000</f>
        <v>913.66587138656166</v>
      </c>
      <c r="U53" s="425">
        <f>(G53/'Population Figures'!F13)*1000</f>
        <v>40.477402044687054</v>
      </c>
      <c r="V53" s="425">
        <f>(H53/'Population Figures'!F13)*1000</f>
        <v>178.56316787713374</v>
      </c>
      <c r="W53" s="425">
        <f>(I53/'Population Figures'!F13)*1000</f>
        <v>46.367827789856747</v>
      </c>
      <c r="X53" s="500">
        <f>(J53/'Population Figures'!F13)*1000</f>
        <v>3.6853710814019829</v>
      </c>
      <c r="Y53" s="186">
        <f>(K53/'Population Figures'!F13)*1000</f>
        <v>0</v>
      </c>
      <c r="Z53" s="186">
        <f>(L53/'Population Figures'!F13)*1000</f>
        <v>0</v>
      </c>
      <c r="AA53" s="501">
        <f>(M53/'Population Figures'!F13)*1000</f>
        <v>0</v>
      </c>
    </row>
    <row r="54" spans="1:27">
      <c r="A54" s="7" t="s">
        <v>40</v>
      </c>
      <c r="B54" s="425">
        <v>49885</v>
      </c>
      <c r="C54" s="280">
        <v>286</v>
      </c>
      <c r="D54" s="425">
        <v>56</v>
      </c>
      <c r="E54" s="425">
        <v>9348</v>
      </c>
      <c r="F54" s="280">
        <v>22593</v>
      </c>
      <c r="G54" s="425">
        <v>2921</v>
      </c>
      <c r="H54" s="425">
        <v>11182</v>
      </c>
      <c r="I54" s="425">
        <v>2035</v>
      </c>
      <c r="J54" s="425">
        <v>342</v>
      </c>
      <c r="K54" s="280">
        <v>0</v>
      </c>
      <c r="L54" s="280">
        <v>0</v>
      </c>
      <c r="M54" s="280">
        <v>1122</v>
      </c>
      <c r="N54" s="233"/>
      <c r="O54" s="7" t="s">
        <v>40</v>
      </c>
      <c r="P54" s="425">
        <f>(B54*1000)/SUM('Population Figures'!$E14:$G14)</f>
        <v>544.71500327582442</v>
      </c>
      <c r="Q54" s="280">
        <f>(C54/SUM('Population Figures'!E14:G14))*1000</f>
        <v>3.1229526097401177</v>
      </c>
      <c r="R54" s="425">
        <f>(D54/'Population Figures'!E14)*1000</f>
        <v>2.6835345984282153</v>
      </c>
      <c r="S54" s="425">
        <f>(E54/'Population Figures'!E14)*1000</f>
        <v>447.95859689476708</v>
      </c>
      <c r="T54" s="280">
        <f>(F54/'Population Figures'!G14)*1000</f>
        <v>1403.8150863675905</v>
      </c>
      <c r="U54" s="425">
        <f>(G54/'Population Figures'!F14)*1000</f>
        <v>53.480537551722875</v>
      </c>
      <c r="V54" s="425">
        <f>(H54/'Population Figures'!F14)*1000</f>
        <v>204.73104104873852</v>
      </c>
      <c r="W54" s="425">
        <f>(I54/'Population Figures'!F14)*1000</f>
        <v>37.258779157054448</v>
      </c>
      <c r="X54" s="500">
        <f>(J54/'Population Figures'!F14)*1000</f>
        <v>6.2616719762715594</v>
      </c>
      <c r="Y54" s="186">
        <f>(K54/'Population Figures'!F14)*1000</f>
        <v>0</v>
      </c>
      <c r="Z54" s="186">
        <f>(L54/'Population Figures'!F14)*1000</f>
        <v>0</v>
      </c>
      <c r="AA54" s="501">
        <f>(M54/'Population Figures'!F14)*1000</f>
        <v>20.542678237943534</v>
      </c>
    </row>
    <row r="55" spans="1:27">
      <c r="A55" s="7" t="s">
        <v>41</v>
      </c>
      <c r="B55" s="425">
        <v>35629</v>
      </c>
      <c r="C55" s="280">
        <v>1060</v>
      </c>
      <c r="D55" s="425">
        <v>0</v>
      </c>
      <c r="E55" s="425">
        <v>4539</v>
      </c>
      <c r="F55" s="280">
        <v>13513</v>
      </c>
      <c r="G55" s="425">
        <v>5794</v>
      </c>
      <c r="H55" s="425">
        <v>7888</v>
      </c>
      <c r="I55" s="425">
        <v>687</v>
      </c>
      <c r="J55" s="425">
        <v>1199</v>
      </c>
      <c r="K55" s="280">
        <v>0</v>
      </c>
      <c r="L55" s="280">
        <v>0</v>
      </c>
      <c r="M55" s="280">
        <v>949</v>
      </c>
      <c r="N55" s="233"/>
      <c r="O55" s="7" t="s">
        <v>41</v>
      </c>
      <c r="P55" s="425">
        <f>(B55*1000)/SUM('Population Figures'!$E15:$G15)</f>
        <v>397.60071420600377</v>
      </c>
      <c r="Q55" s="280">
        <f>(C55/SUM('Population Figures'!E15:G15))*1000</f>
        <v>11.829036937841758</v>
      </c>
      <c r="R55" s="425">
        <f>(D55/'Population Figures'!E15)*1000</f>
        <v>0</v>
      </c>
      <c r="S55" s="425">
        <f>(E55/'Population Figures'!E15)*1000</f>
        <v>214.51864454841913</v>
      </c>
      <c r="T55" s="280">
        <f>(F55/'Population Figures'!G15)*1000</f>
        <v>911.62382783512112</v>
      </c>
      <c r="U55" s="425">
        <f>(G55/'Population Figures'!F15)*1000</f>
        <v>108.04057581860222</v>
      </c>
      <c r="V55" s="425">
        <f>(H55/'Population Figures'!F15)*1000</f>
        <v>147.08734243305736</v>
      </c>
      <c r="W55" s="425">
        <f>(I55/'Population Figures'!F15)*1000</f>
        <v>12.810472141418661</v>
      </c>
      <c r="X55" s="500">
        <f>(J55/'Population Figures'!F15)*1000</f>
        <v>22.357723577235774</v>
      </c>
      <c r="Y55" s="186">
        <f>(K55/'Population Figures'!F15)*1000</f>
        <v>0</v>
      </c>
      <c r="Z55" s="186">
        <f>(L55/'Population Figures'!F15)*1000</f>
        <v>0</v>
      </c>
      <c r="AA55" s="501">
        <f>(M55/'Population Figures'!F15)*1000</f>
        <v>17.695979712090701</v>
      </c>
    </row>
    <row r="56" spans="1:27">
      <c r="A56" s="7" t="s">
        <v>140</v>
      </c>
      <c r="B56" s="425">
        <v>234072</v>
      </c>
      <c r="C56" s="280">
        <v>1110</v>
      </c>
      <c r="D56" s="425">
        <v>160</v>
      </c>
      <c r="E56" s="425">
        <v>54866</v>
      </c>
      <c r="F56" s="280">
        <v>102088</v>
      </c>
      <c r="G56" s="425">
        <v>14235</v>
      </c>
      <c r="H56" s="425">
        <v>34573</v>
      </c>
      <c r="I56" s="425">
        <v>10001</v>
      </c>
      <c r="J56" s="425">
        <v>3487</v>
      </c>
      <c r="K56" s="280">
        <v>1813</v>
      </c>
      <c r="L56" s="280">
        <v>968</v>
      </c>
      <c r="M56" s="280">
        <v>10771</v>
      </c>
      <c r="N56" s="233"/>
      <c r="O56" s="7" t="s">
        <v>140</v>
      </c>
      <c r="P56" s="425">
        <f>(B56*1000)/SUM('Population Figures'!$E16:$G16)</f>
        <v>515.95212379042039</v>
      </c>
      <c r="Q56" s="280">
        <f>(C56/SUM('Population Figures'!E16:G16))*1000</f>
        <v>2.4467123680208078</v>
      </c>
      <c r="R56" s="425">
        <f>(D56/'Population Figures'!E16)*1000</f>
        <v>1.985407256663523</v>
      </c>
      <c r="S56" s="425">
        <f>(E56/'Population Figures'!E16)*1000</f>
        <v>680.82096590063031</v>
      </c>
      <c r="T56" s="280">
        <f>(F56/'Population Figures'!G16)*1000</f>
        <v>1481.6190877030028</v>
      </c>
      <c r="U56" s="425">
        <f>(G56/'Population Figures'!F16)*1000</f>
        <v>46.79810243310682</v>
      </c>
      <c r="V56" s="425">
        <f>(H56/'Population Figures'!F16)*1000</f>
        <v>113.66004885281365</v>
      </c>
      <c r="W56" s="425">
        <f>(I56/'Population Figures'!F16)*1000</f>
        <v>32.878666837618638</v>
      </c>
      <c r="X56" s="500">
        <f>(J56/'Population Figures'!F16)*1000</f>
        <v>11.46364476180144</v>
      </c>
      <c r="Y56" s="186">
        <f>(K56/'Population Figures'!F16)*1000</f>
        <v>5.9603062670335563</v>
      </c>
      <c r="Z56" s="186">
        <f>(L56/'Population Figures'!F16)*1000</f>
        <v>3.1823367162098632</v>
      </c>
      <c r="AA56" s="501">
        <f>(M56/'Population Figures'!F16)*1000</f>
        <v>35.410071043694664</v>
      </c>
    </row>
    <row r="57" spans="1:27">
      <c r="A57" s="7" t="s">
        <v>42</v>
      </c>
      <c r="B57" s="425">
        <v>18269</v>
      </c>
      <c r="C57" s="280">
        <v>345</v>
      </c>
      <c r="D57" s="425">
        <v>51</v>
      </c>
      <c r="E57" s="425">
        <v>1974</v>
      </c>
      <c r="F57" s="280">
        <v>11529</v>
      </c>
      <c r="G57" s="425">
        <v>896</v>
      </c>
      <c r="H57" s="425">
        <v>2297</v>
      </c>
      <c r="I57" s="425">
        <v>856</v>
      </c>
      <c r="J57" s="425">
        <v>111</v>
      </c>
      <c r="K57" s="280">
        <v>0</v>
      </c>
      <c r="L57" s="280">
        <v>0</v>
      </c>
      <c r="M57" s="280">
        <v>210</v>
      </c>
      <c r="N57" s="233"/>
      <c r="O57" s="7" t="s">
        <v>42</v>
      </c>
      <c r="P57" s="425">
        <f>(B57*1000)/SUM('Population Figures'!$E17:$G17)</f>
        <v>695.69687738004575</v>
      </c>
      <c r="Q57" s="280">
        <f>(C57/SUM('Population Figures'!E17:G17))*1000</f>
        <v>13.137852246763138</v>
      </c>
      <c r="R57" s="425">
        <f>(D57/'Population Figures'!E17)*1000</f>
        <v>9.2542188350571593</v>
      </c>
      <c r="S57" s="425">
        <f>(E57/'Population Figures'!E17)*1000</f>
        <v>358.19270549809471</v>
      </c>
      <c r="T57" s="280">
        <f>(F57/'Population Figures'!G17)*1000</f>
        <v>2183.936351581739</v>
      </c>
      <c r="U57" s="425">
        <f>(G57/'Population Figures'!F17)*1000</f>
        <v>57.918552036199095</v>
      </c>
      <c r="V57" s="425">
        <f>(H57/'Population Figures'!F17)*1000</f>
        <v>148.48093083387201</v>
      </c>
      <c r="W57" s="425">
        <f>(I57/'Population Figures'!F17)*1000</f>
        <v>55.332902391725916</v>
      </c>
      <c r="X57" s="500">
        <f>(J57/'Population Figures'!F17)*1000</f>
        <v>7.1751777634130569</v>
      </c>
      <c r="Y57" s="186">
        <f>(K57/'Population Figures'!F17)*1000</f>
        <v>0</v>
      </c>
      <c r="Z57" s="186">
        <f>(L57/'Population Figures'!F17)*1000</f>
        <v>0</v>
      </c>
      <c r="AA57" s="501">
        <f>(M57/'Population Figures'!F17)*1000</f>
        <v>13.574660633484163</v>
      </c>
    </row>
    <row r="58" spans="1:27">
      <c r="A58" s="7" t="s">
        <v>43</v>
      </c>
      <c r="B58" s="425">
        <v>71311</v>
      </c>
      <c r="C58" s="280">
        <v>214</v>
      </c>
      <c r="D58" s="425">
        <v>55</v>
      </c>
      <c r="E58" s="425">
        <v>16719</v>
      </c>
      <c r="F58" s="280">
        <v>33811</v>
      </c>
      <c r="G58" s="425">
        <v>5125</v>
      </c>
      <c r="H58" s="425">
        <v>9921</v>
      </c>
      <c r="I58" s="425">
        <v>3079</v>
      </c>
      <c r="J58" s="425">
        <v>468</v>
      </c>
      <c r="K58" s="280">
        <v>3</v>
      </c>
      <c r="L58" s="280">
        <v>0</v>
      </c>
      <c r="M58" s="280">
        <v>1916</v>
      </c>
      <c r="N58" s="233"/>
      <c r="O58" s="7" t="s">
        <v>43</v>
      </c>
      <c r="P58" s="425">
        <f>(B58*1000)/SUM('Population Figures'!$E18:$G18)</f>
        <v>483.59555133595552</v>
      </c>
      <c r="Q58" s="280">
        <f>(C58/SUM('Population Figures'!E18:G18))*1000</f>
        <v>1.4512410145124102</v>
      </c>
      <c r="R58" s="425">
        <f>(D58/'Population Figures'!E18)*1000</f>
        <v>1.7285269807347812</v>
      </c>
      <c r="S58" s="425">
        <f>(E58/'Population Figures'!E18)*1000</f>
        <v>525.44077438008742</v>
      </c>
      <c r="T58" s="280">
        <f>(F58/'Population Figures'!G18)*1000</f>
        <v>1458.2506685068577</v>
      </c>
      <c r="U58" s="425">
        <f>(G58/'Population Figures'!F18)*1000</f>
        <v>55.432372505543242</v>
      </c>
      <c r="V58" s="425">
        <f>(H58/'Population Figures'!F18)*1000</f>
        <v>107.30625709804769</v>
      </c>
      <c r="W58" s="425">
        <f>(I58/'Population Figures'!F18)*1000</f>
        <v>33.302687794061974</v>
      </c>
      <c r="X58" s="500">
        <f>(J58/'Population Figures'!F18)*1000</f>
        <v>5.0619220161159477</v>
      </c>
      <c r="Y58" s="186">
        <f>(K58/'Population Figures'!F18)*1000</f>
        <v>3.2448218052025309E-2</v>
      </c>
      <c r="Z58" s="186">
        <f>(L58/'Population Figures'!F18)*1000</f>
        <v>0</v>
      </c>
      <c r="AA58" s="501">
        <f>(M58/'Population Figures'!F18)*1000</f>
        <v>20.723595262560167</v>
      </c>
    </row>
    <row r="59" spans="1:27">
      <c r="A59" s="7" t="s">
        <v>44</v>
      </c>
      <c r="B59" s="425">
        <v>158470</v>
      </c>
      <c r="C59" s="280">
        <v>725</v>
      </c>
      <c r="D59" s="425">
        <v>100</v>
      </c>
      <c r="E59" s="425">
        <v>26665</v>
      </c>
      <c r="F59" s="280">
        <v>78485</v>
      </c>
      <c r="G59" s="425">
        <v>14146</v>
      </c>
      <c r="H59" s="425">
        <v>26950</v>
      </c>
      <c r="I59" s="425">
        <v>4925</v>
      </c>
      <c r="J59" s="425">
        <v>856</v>
      </c>
      <c r="K59" s="280">
        <v>73</v>
      </c>
      <c r="L59" s="280">
        <v>0</v>
      </c>
      <c r="M59" s="280">
        <v>5545</v>
      </c>
      <c r="N59" s="233"/>
      <c r="O59" s="7" t="s">
        <v>44</v>
      </c>
      <c r="P59" s="425">
        <f>(B59*1000)/SUM('Population Figures'!$E19:$G19)</f>
        <v>446.89791314156798</v>
      </c>
      <c r="Q59" s="280">
        <f>(C59/SUM('Population Figures'!E19:G19))*1000</f>
        <v>2.0445572476029326</v>
      </c>
      <c r="R59" s="425">
        <f>(D59/'Population Figures'!E19)*1000</f>
        <v>1.3168464162024782</v>
      </c>
      <c r="S59" s="425">
        <f>(E59/'Population Figures'!E19)*1000</f>
        <v>351.13709688039086</v>
      </c>
      <c r="T59" s="280">
        <f>(F59/'Population Figures'!G19)*1000</f>
        <v>1338.1926683716965</v>
      </c>
      <c r="U59" s="425">
        <f>(G59/'Population Figures'!F19)*1000</f>
        <v>64.296785160741962</v>
      </c>
      <c r="V59" s="425">
        <f>(H59/'Population Figures'!F19)*1000</f>
        <v>122.4938753062347</v>
      </c>
      <c r="W59" s="425">
        <f>(I59/'Population Figures'!F19)*1000</f>
        <v>22.385244374144929</v>
      </c>
      <c r="X59" s="500">
        <f>(J59/'Population Figures'!F19)*1000</f>
        <v>3.890714555181332</v>
      </c>
      <c r="Y59" s="186">
        <f>(K59/'Population Figures'!F19)*1000</f>
        <v>0.33180159173859486</v>
      </c>
      <c r="Z59" s="186">
        <f>(L59/'Population Figures'!F19)*1000</f>
        <v>0</v>
      </c>
      <c r="AA59" s="501">
        <f>(M59/'Population Figures'!F19)*1000</f>
        <v>25.203285290280942</v>
      </c>
    </row>
    <row r="60" spans="1:27">
      <c r="A60" s="7" t="s">
        <v>45</v>
      </c>
      <c r="B60" s="425">
        <v>402750</v>
      </c>
      <c r="C60" s="280">
        <v>1670</v>
      </c>
      <c r="D60" s="425">
        <v>315</v>
      </c>
      <c r="E60" s="425">
        <v>111384</v>
      </c>
      <c r="F60" s="280">
        <v>131594</v>
      </c>
      <c r="G60" s="425">
        <v>31038</v>
      </c>
      <c r="H60" s="425">
        <v>59628</v>
      </c>
      <c r="I60" s="425">
        <v>39900</v>
      </c>
      <c r="J60" s="425">
        <v>10728</v>
      </c>
      <c r="K60" s="280">
        <v>75</v>
      </c>
      <c r="L60" s="280">
        <v>2122</v>
      </c>
      <c r="M60" s="280">
        <v>14296</v>
      </c>
      <c r="N60" s="233"/>
      <c r="O60" s="7" t="s">
        <v>45</v>
      </c>
      <c r="P60" s="425">
        <f>(B60*1000)/SUM('Population Figures'!$E20:$G20)</f>
        <v>697.19736181556948</v>
      </c>
      <c r="Q60" s="280">
        <f>(C60/SUM('Population Figures'!E20:G20))*1000</f>
        <v>2.8909238838783389</v>
      </c>
      <c r="R60" s="425">
        <f>(D60/'Population Figures'!E20)*1000</f>
        <v>2.7565807896947634</v>
      </c>
      <c r="S60" s="425">
        <f>(E60/'Population Figures'!E20)*1000</f>
        <v>974.72696723606828</v>
      </c>
      <c r="T60" s="280">
        <f>(F60/'Population Figures'!G20)*1000</f>
        <v>1511.6017276235987</v>
      </c>
      <c r="U60" s="425">
        <f>(G60/'Population Figures'!F20)*1000</f>
        <v>82.472857135265272</v>
      </c>
      <c r="V60" s="425">
        <f>(H60/'Population Figures'!F20)*1000</f>
        <v>158.44099250150128</v>
      </c>
      <c r="W60" s="425">
        <f>(I60/'Population Figures'!F20)*1000</f>
        <v>106.02058765697159</v>
      </c>
      <c r="X60" s="500">
        <f>(J60/'Population Figures'!F20)*1000</f>
        <v>28.505986576039881</v>
      </c>
      <c r="Y60" s="186">
        <f>(K60/'Population Figures'!F20)*1000</f>
        <v>0.19928681890408192</v>
      </c>
      <c r="Z60" s="186">
        <f>(L60/'Population Figures'!F20)*1000</f>
        <v>5.6384883961928249</v>
      </c>
      <c r="AA60" s="501">
        <f>(M60/'Population Figures'!F20)*1000</f>
        <v>37.986724840703403</v>
      </c>
    </row>
    <row r="61" spans="1:27">
      <c r="A61" s="7" t="s">
        <v>46</v>
      </c>
      <c r="B61" s="425">
        <v>100962</v>
      </c>
      <c r="C61" s="280">
        <v>342</v>
      </c>
      <c r="D61" s="425">
        <v>94</v>
      </c>
      <c r="E61" s="425">
        <v>18832</v>
      </c>
      <c r="F61" s="280">
        <v>53407</v>
      </c>
      <c r="G61" s="425">
        <v>5591</v>
      </c>
      <c r="H61" s="425">
        <v>14184</v>
      </c>
      <c r="I61" s="425">
        <v>5493</v>
      </c>
      <c r="J61" s="425">
        <v>778</v>
      </c>
      <c r="K61" s="280">
        <v>0</v>
      </c>
      <c r="L61" s="280">
        <v>0</v>
      </c>
      <c r="M61" s="280">
        <v>2241</v>
      </c>
      <c r="N61" s="233"/>
      <c r="O61" s="7" t="s">
        <v>46</v>
      </c>
      <c r="P61" s="425">
        <f>(B61*1000)/SUM('Population Figures'!$E21:$G21)</f>
        <v>477.72310021765873</v>
      </c>
      <c r="Q61" s="280">
        <f>(C61/SUM('Population Figures'!E21:G21))*1000</f>
        <v>1.6182454812151037</v>
      </c>
      <c r="R61" s="425">
        <f>(D61/'Population Figures'!E21)*1000</f>
        <v>2.082825552281137</v>
      </c>
      <c r="S61" s="425">
        <f>(E61/'Population Figures'!E21)*1000</f>
        <v>417.27415745274863</v>
      </c>
      <c r="T61" s="280">
        <f>(F61/'Population Figures'!G21)*1000</f>
        <v>1458.769222364863</v>
      </c>
      <c r="U61" s="425">
        <f>(G61/'Population Figures'!F21)*1000</f>
        <v>43.141097856448404</v>
      </c>
      <c r="V61" s="425">
        <f>(H61/'Population Figures'!F21)*1000</f>
        <v>109.44613342798499</v>
      </c>
      <c r="W61" s="425">
        <f>(I61/'Population Figures'!F21)*1000</f>
        <v>42.384913347428203</v>
      </c>
      <c r="X61" s="500">
        <f>(J61/'Population Figures'!F21)*1000</f>
        <v>6.0031790614052687</v>
      </c>
      <c r="Y61" s="186">
        <f>(K61/'Population Figures'!F21)*1000</f>
        <v>0</v>
      </c>
      <c r="Z61" s="186">
        <f>(L61/'Population Figures'!F21)*1000</f>
        <v>0</v>
      </c>
      <c r="AA61" s="501">
        <f>(M61/'Population Figures'!F21)*1000</f>
        <v>17.291933517492556</v>
      </c>
    </row>
    <row r="62" spans="1:27">
      <c r="A62" s="7" t="s">
        <v>47</v>
      </c>
      <c r="B62" s="425">
        <v>47429</v>
      </c>
      <c r="C62" s="280">
        <v>834</v>
      </c>
      <c r="D62" s="425">
        <v>22</v>
      </c>
      <c r="E62" s="425">
        <v>9888</v>
      </c>
      <c r="F62" s="280">
        <v>22345</v>
      </c>
      <c r="G62" s="425">
        <v>3845</v>
      </c>
      <c r="H62" s="425">
        <v>6064</v>
      </c>
      <c r="I62" s="425">
        <v>1980</v>
      </c>
      <c r="J62" s="425">
        <v>858</v>
      </c>
      <c r="K62" s="280">
        <v>0</v>
      </c>
      <c r="L62" s="280">
        <v>0</v>
      </c>
      <c r="M62" s="280">
        <v>1593</v>
      </c>
      <c r="N62" s="233"/>
      <c r="O62" s="7" t="s">
        <v>47</v>
      </c>
      <c r="P62" s="425">
        <f>(B62*1000)/SUM('Population Figures'!$E22:$G22)</f>
        <v>575.38517530025479</v>
      </c>
      <c r="Q62" s="280">
        <f>(C62/SUM('Population Figures'!E22:G22))*1000</f>
        <v>10.1176756035424</v>
      </c>
      <c r="R62" s="425">
        <f>(D62/'Population Figures'!E22)*1000</f>
        <v>1.2581493766441725</v>
      </c>
      <c r="S62" s="425">
        <f>(E62/'Population Figures'!E22)*1000</f>
        <v>565.48095619352625</v>
      </c>
      <c r="T62" s="280">
        <f>(F62/'Population Figures'!G22)*1000</f>
        <v>1596.6416577349055</v>
      </c>
      <c r="U62" s="425">
        <f>(G62/'Population Figures'!F22)*1000</f>
        <v>75.467624487232328</v>
      </c>
      <c r="V62" s="425">
        <f>(H62/'Population Figures'!F22)*1000</f>
        <v>119.02098176607981</v>
      </c>
      <c r="W62" s="425">
        <f>(I62/'Population Figures'!F22)*1000</f>
        <v>38.862391803568279</v>
      </c>
      <c r="X62" s="500">
        <f>(J62/'Population Figures'!F22)*1000</f>
        <v>16.840369781546251</v>
      </c>
      <c r="Y62" s="186">
        <f>(K62/'Population Figures'!F22)*1000</f>
        <v>0</v>
      </c>
      <c r="Z62" s="186">
        <f>(L62/'Population Figures'!F22)*1000</f>
        <v>0</v>
      </c>
      <c r="AA62" s="501">
        <f>(M62/'Population Figures'!F22)*1000</f>
        <v>31.26656067832538</v>
      </c>
    </row>
    <row r="63" spans="1:27">
      <c r="A63" s="7" t="s">
        <v>48</v>
      </c>
      <c r="B63" s="425">
        <v>40811</v>
      </c>
      <c r="C63" s="280">
        <v>575</v>
      </c>
      <c r="D63" s="425">
        <v>32</v>
      </c>
      <c r="E63" s="425">
        <v>9195</v>
      </c>
      <c r="F63" s="280">
        <v>17931</v>
      </c>
      <c r="G63" s="425">
        <v>2710</v>
      </c>
      <c r="H63" s="425">
        <v>7994</v>
      </c>
      <c r="I63" s="425">
        <v>1158</v>
      </c>
      <c r="J63" s="425">
        <v>507</v>
      </c>
      <c r="K63" s="280">
        <v>0</v>
      </c>
      <c r="L63" s="280">
        <v>3</v>
      </c>
      <c r="M63" s="280">
        <v>706</v>
      </c>
      <c r="N63" s="233"/>
      <c r="O63" s="7" t="s">
        <v>48</v>
      </c>
      <c r="P63" s="425">
        <f>(B63*1000)/SUM('Population Figures'!$E23:$G23)</f>
        <v>512.63660344177868</v>
      </c>
      <c r="Q63" s="280">
        <f>(C63/SUM('Population Figures'!E23:G23))*1000</f>
        <v>7.2227107147343297</v>
      </c>
      <c r="R63" s="425">
        <f>(D63/'Population Figures'!E23)*1000</f>
        <v>1.7638628596626613</v>
      </c>
      <c r="S63" s="425">
        <f>(E63/'Population Figures'!E23)*1000</f>
        <v>506.83496858119281</v>
      </c>
      <c r="T63" s="280">
        <f>(F63/'Population Figures'!G23)*1000</f>
        <v>1440.2409638554216</v>
      </c>
      <c r="U63" s="425">
        <f>(G63/'Population Figures'!F23)*1000</f>
        <v>55.285813374678689</v>
      </c>
      <c r="V63" s="425">
        <f>(H63/'Population Figures'!F23)*1000</f>
        <v>163.08294912073114</v>
      </c>
      <c r="W63" s="425">
        <f>(I63/'Population Figures'!F23)*1000</f>
        <v>23.623974866375615</v>
      </c>
      <c r="X63" s="500">
        <f>(J63/'Population Figures'!F23)*1000</f>
        <v>10.343139254967562</v>
      </c>
      <c r="Y63" s="186">
        <f>(K63/'Population Figures'!F23)*1000</f>
        <v>0</v>
      </c>
      <c r="Z63" s="186">
        <f>(L63/'Population Figures'!F23)*1000</f>
        <v>6.1202007425843565E-2</v>
      </c>
      <c r="AA63" s="501">
        <f>(M63/'Population Figures'!F23)*1000</f>
        <v>14.402872414215187</v>
      </c>
    </row>
    <row r="64" spans="1:27">
      <c r="A64" s="7" t="s">
        <v>49</v>
      </c>
      <c r="B64" s="425">
        <v>36659</v>
      </c>
      <c r="C64" s="280">
        <v>80</v>
      </c>
      <c r="D64" s="425">
        <v>51</v>
      </c>
      <c r="E64" s="425">
        <v>8918</v>
      </c>
      <c r="F64" s="280">
        <v>16719</v>
      </c>
      <c r="G64" s="425">
        <v>2706</v>
      </c>
      <c r="H64" s="425">
        <v>5782</v>
      </c>
      <c r="I64" s="425">
        <v>1736</v>
      </c>
      <c r="J64" s="425">
        <v>218</v>
      </c>
      <c r="K64" s="280">
        <v>0</v>
      </c>
      <c r="L64" s="280">
        <v>0</v>
      </c>
      <c r="M64" s="280">
        <v>449</v>
      </c>
      <c r="N64" s="233"/>
      <c r="O64" s="7" t="s">
        <v>49</v>
      </c>
      <c r="P64" s="425">
        <f>(B64*1000)/SUM('Population Figures'!$E24:$G24)</f>
        <v>422.63085081853814</v>
      </c>
      <c r="Q64" s="280">
        <f>(C64/SUM('Population Figures'!E24:G24))*1000</f>
        <v>0.9222965183306433</v>
      </c>
      <c r="R64" s="425">
        <f>(D64/'Population Figures'!E24)*1000</f>
        <v>2.6847757422615288</v>
      </c>
      <c r="S64" s="425">
        <f>(E64/'Population Figures'!E24)*1000</f>
        <v>469.4672562644767</v>
      </c>
      <c r="T64" s="280">
        <f>(F64/'Population Figures'!G24)*1000</f>
        <v>1120.3511358305971</v>
      </c>
      <c r="U64" s="425">
        <f>(G64/'Population Figures'!F24)*1000</f>
        <v>51.229624581132505</v>
      </c>
      <c r="V64" s="425">
        <f>(H64/'Population Figures'!F24)*1000</f>
        <v>109.46403892391284</v>
      </c>
      <c r="W64" s="425">
        <f>(I64/'Population Figures'!F24)*1000</f>
        <v>32.86571628708279</v>
      </c>
      <c r="X64" s="500">
        <f>(J64/'Population Figures'!F24)*1000</f>
        <v>4.1271464001060183</v>
      </c>
      <c r="Y64" s="186">
        <f>(K64/'Population Figures'!F24)*1000</f>
        <v>0</v>
      </c>
      <c r="Z64" s="186">
        <f>(L64/'Population Figures'!F24)*1000</f>
        <v>0</v>
      </c>
      <c r="AA64" s="501">
        <f>(M64/'Population Figures'!F24)*1000</f>
        <v>8.5004070350807428</v>
      </c>
    </row>
    <row r="65" spans="1:27">
      <c r="A65" s="7" t="s">
        <v>50</v>
      </c>
      <c r="B65" s="425">
        <v>63606</v>
      </c>
      <c r="C65" s="280">
        <v>2538</v>
      </c>
      <c r="D65" s="425">
        <v>194</v>
      </c>
      <c r="E65" s="425">
        <v>13706</v>
      </c>
      <c r="F65" s="280">
        <v>32160</v>
      </c>
      <c r="G65" s="425">
        <v>2348</v>
      </c>
      <c r="H65" s="425">
        <v>7173</v>
      </c>
      <c r="I65" s="425">
        <v>2507</v>
      </c>
      <c r="J65" s="425">
        <v>952</v>
      </c>
      <c r="K65" s="280">
        <v>0</v>
      </c>
      <c r="L65" s="280">
        <v>0</v>
      </c>
      <c r="M65" s="280">
        <v>2028</v>
      </c>
      <c r="N65" s="233"/>
      <c r="O65" s="7" t="s">
        <v>50</v>
      </c>
      <c r="P65" s="425">
        <f>(B65*1000)/SUM('Population Figures'!$E25:$G25)</f>
        <v>467.62240846934276</v>
      </c>
      <c r="Q65" s="280">
        <f>(C65/SUM('Population Figures'!E25:G25))*1000</f>
        <v>18.65902073224526</v>
      </c>
      <c r="R65" s="425">
        <f>(D65/'Population Figures'!E25)*1000</f>
        <v>6.4878603437897127</v>
      </c>
      <c r="S65" s="425">
        <f>(E65/'Population Figures'!E25)*1000</f>
        <v>458.36398903083409</v>
      </c>
      <c r="T65" s="280">
        <f>(F65/'Population Figures'!G25)*1000</f>
        <v>1397.288842544317</v>
      </c>
      <c r="U65" s="425">
        <f>(G65/'Population Figures'!F25)*1000</f>
        <v>28.254434309643571</v>
      </c>
      <c r="V65" s="425">
        <f>(H65/'Population Figures'!F25)*1000</f>
        <v>86.315612139298693</v>
      </c>
      <c r="W65" s="425">
        <f>(I65/'Population Figures'!F25)*1000</f>
        <v>30.167745661957596</v>
      </c>
      <c r="X65" s="500">
        <f>(J65/'Population Figures'!F25)*1000</f>
        <v>11.455801304421072</v>
      </c>
      <c r="Y65" s="186">
        <f>(K65/'Population Figures'!F25)*1000</f>
        <v>0</v>
      </c>
      <c r="Z65" s="186">
        <f>(L65/'Population Figures'!F25)*1000</f>
        <v>0</v>
      </c>
      <c r="AA65" s="501">
        <f>(M65/'Population Figures'!F25)*1000</f>
        <v>24.403744795552456</v>
      </c>
    </row>
    <row r="66" spans="1:27">
      <c r="A66" s="7" t="s">
        <v>51</v>
      </c>
      <c r="B66" s="425">
        <v>164902</v>
      </c>
      <c r="C66" s="280">
        <v>532</v>
      </c>
      <c r="D66" s="425">
        <v>82</v>
      </c>
      <c r="E66" s="425">
        <v>21192</v>
      </c>
      <c r="F66" s="280">
        <v>86499</v>
      </c>
      <c r="G66" s="425">
        <v>7496</v>
      </c>
      <c r="H66" s="425">
        <v>34145</v>
      </c>
      <c r="I66" s="425">
        <v>3693</v>
      </c>
      <c r="J66" s="425">
        <v>2236</v>
      </c>
      <c r="K66" s="280">
        <v>0</v>
      </c>
      <c r="L66" s="280">
        <v>117</v>
      </c>
      <c r="M66" s="280">
        <v>8910</v>
      </c>
      <c r="N66" s="233"/>
      <c r="O66" s="7" t="s">
        <v>51</v>
      </c>
      <c r="P66" s="425">
        <f>(B66*1000)/SUM('Population Figures'!$E26:$G26)</f>
        <v>510.86464884290098</v>
      </c>
      <c r="Q66" s="280">
        <f>(C66/SUM('Population Figures'!E26:G26))*1000</f>
        <v>1.6481303633941573</v>
      </c>
      <c r="R66" s="425">
        <f>(D66/'Population Figures'!E26)*1000</f>
        <v>1.1259560327900366</v>
      </c>
      <c r="S66" s="425">
        <f>(E66/'Population Figures'!E26)*1000</f>
        <v>290.99097862056658</v>
      </c>
      <c r="T66" s="280">
        <f>(F66/'Population Figures'!G26)*1000</f>
        <v>1876.2526571515336</v>
      </c>
      <c r="U66" s="425">
        <f>(G66/'Population Figures'!F26)*1000</f>
        <v>36.77015221155591</v>
      </c>
      <c r="V66" s="425">
        <f>(H66/'Population Figures'!F26)*1000</f>
        <v>167.4915751418859</v>
      </c>
      <c r="W66" s="425">
        <f>(I66/'Population Figures'!F26)*1000</f>
        <v>18.115284434001598</v>
      </c>
      <c r="X66" s="500">
        <f>(J66/'Population Figures'!F26)*1000</f>
        <v>10.968257783489729</v>
      </c>
      <c r="Y66" s="186">
        <f>(K66/'Population Figures'!F26)*1000</f>
        <v>0</v>
      </c>
      <c r="Z66" s="186">
        <f>(L66/'Population Figures'!F26)*1000</f>
        <v>0.57392046541516029</v>
      </c>
      <c r="AA66" s="501">
        <f>(M66/'Population Figures'!F26)*1000</f>
        <v>43.706250827769907</v>
      </c>
    </row>
    <row r="67" spans="1:27">
      <c r="A67" s="7" t="s">
        <v>52</v>
      </c>
      <c r="B67" s="425">
        <v>14252</v>
      </c>
      <c r="C67" s="280">
        <v>954</v>
      </c>
      <c r="D67" s="425">
        <v>53</v>
      </c>
      <c r="E67" s="425">
        <v>2171</v>
      </c>
      <c r="F67" s="280">
        <v>7544</v>
      </c>
      <c r="G67" s="425">
        <v>869</v>
      </c>
      <c r="H67" s="425">
        <v>1736</v>
      </c>
      <c r="I67" s="425">
        <v>508</v>
      </c>
      <c r="J67" s="425">
        <v>64</v>
      </c>
      <c r="K67" s="280">
        <v>0</v>
      </c>
      <c r="L67" s="280">
        <v>0</v>
      </c>
      <c r="M67" s="280">
        <v>353</v>
      </c>
      <c r="N67" s="233"/>
      <c r="O67" s="7" t="s">
        <v>52</v>
      </c>
      <c r="P67" s="425">
        <f>(B67*1000)/SUM('Population Figures'!$E27:$G27)</f>
        <v>730.87179487179492</v>
      </c>
      <c r="Q67" s="280">
        <f>(C67/SUM('Population Figures'!E27:G27))*1000</f>
        <v>48.92307692307692</v>
      </c>
      <c r="R67" s="425">
        <f>(D67/'Population Figures'!E27)*1000</f>
        <v>12.529550827423169</v>
      </c>
      <c r="S67" s="425">
        <f>(E67/'Population Figures'!E27)*1000</f>
        <v>513.2387706855792</v>
      </c>
      <c r="T67" s="280">
        <f>(F67/'Population Figures'!G27)*1000</f>
        <v>2207.1386775892338</v>
      </c>
      <c r="U67" s="425">
        <f>(G67/'Population Figures'!F27)*1000</f>
        <v>73.320958488018888</v>
      </c>
      <c r="V67" s="425">
        <f>(H67/'Population Figures'!F27)*1000</f>
        <v>146.47316908538644</v>
      </c>
      <c r="W67" s="425">
        <f>(I67/'Population Figures'!F27)*1000</f>
        <v>42.861964225447181</v>
      </c>
      <c r="X67" s="500">
        <f>(J67/'Population Figures'!F27)*1000</f>
        <v>5.3999325008437395</v>
      </c>
      <c r="Y67" s="186">
        <f>(K67/'Population Figures'!F27)*1000</f>
        <v>0</v>
      </c>
      <c r="Z67" s="186">
        <f>(L67/'Population Figures'!F27)*1000</f>
        <v>0</v>
      </c>
      <c r="AA67" s="501">
        <f>(M67/'Population Figures'!F27)*1000</f>
        <v>29.784002699966251</v>
      </c>
    </row>
    <row r="68" spans="1:27">
      <c r="A68" s="7" t="s">
        <v>53</v>
      </c>
      <c r="B68" s="425">
        <v>62227</v>
      </c>
      <c r="C68" s="280">
        <v>420</v>
      </c>
      <c r="D68" s="425">
        <v>0</v>
      </c>
      <c r="E68" s="425">
        <v>10679</v>
      </c>
      <c r="F68" s="280">
        <v>33815</v>
      </c>
      <c r="G68" s="425">
        <v>1834</v>
      </c>
      <c r="H68" s="425">
        <v>10148</v>
      </c>
      <c r="I68" s="425">
        <v>3321</v>
      </c>
      <c r="J68" s="425">
        <v>518</v>
      </c>
      <c r="K68" s="280">
        <v>0</v>
      </c>
      <c r="L68" s="280">
        <v>0</v>
      </c>
      <c r="M68" s="280">
        <v>1492</v>
      </c>
      <c r="N68" s="233"/>
      <c r="O68" s="7" t="s">
        <v>53</v>
      </c>
      <c r="P68" s="425">
        <f>(B68*1000)/SUM('Population Figures'!$E28:$G28)</f>
        <v>452.79051153314413</v>
      </c>
      <c r="Q68" s="280">
        <f>(C68/SUM('Population Figures'!E28:G28))*1000</f>
        <v>3.0561012879283997</v>
      </c>
      <c r="R68" s="425">
        <f>(D68/'Population Figures'!E28)*1000</f>
        <v>0</v>
      </c>
      <c r="S68" s="425">
        <f>(E68/'Population Figures'!E28)*1000</f>
        <v>370.31000762882309</v>
      </c>
      <c r="T68" s="280">
        <f>(F68/'Population Figures'!G28)*1000</f>
        <v>1282.9122088170575</v>
      </c>
      <c r="U68" s="425">
        <f>(G68/'Population Figures'!F28)*1000</f>
        <v>22.30221076440402</v>
      </c>
      <c r="V68" s="425">
        <f>(H68/'Population Figures'!F28)*1000</f>
        <v>123.40394484033368</v>
      </c>
      <c r="W68" s="425">
        <f>(I68/'Population Figures'!F28)*1000</f>
        <v>40.384755697156898</v>
      </c>
      <c r="X68" s="500">
        <f>(J68/'Population Figures'!F28)*1000</f>
        <v>6.2990976968164025</v>
      </c>
      <c r="Y68" s="186">
        <f>(K68/'Population Figures'!F28)*1000</f>
        <v>0</v>
      </c>
      <c r="Z68" s="186">
        <f>(L68/'Population Figures'!F28)*1000</f>
        <v>0</v>
      </c>
      <c r="AA68" s="501">
        <f>(M68/'Population Figures'!F28)*1000</f>
        <v>18.1433470340735</v>
      </c>
    </row>
    <row r="69" spans="1:27">
      <c r="A69" s="7" t="s">
        <v>54</v>
      </c>
      <c r="B69" s="425">
        <v>93560</v>
      </c>
      <c r="C69" s="280">
        <v>325</v>
      </c>
      <c r="D69" s="425">
        <v>0</v>
      </c>
      <c r="E69" s="425">
        <v>19965</v>
      </c>
      <c r="F69" s="280">
        <v>40996</v>
      </c>
      <c r="G69" s="425">
        <v>6634</v>
      </c>
      <c r="H69" s="425">
        <v>17493</v>
      </c>
      <c r="I69" s="425">
        <v>4550</v>
      </c>
      <c r="J69" s="425">
        <v>1527</v>
      </c>
      <c r="K69" s="280">
        <v>0</v>
      </c>
      <c r="L69" s="280">
        <v>0</v>
      </c>
      <c r="M69" s="280">
        <v>2070</v>
      </c>
      <c r="N69" s="233"/>
      <c r="O69" s="7" t="s">
        <v>54</v>
      </c>
      <c r="P69" s="425">
        <f>(B69*1000)/SUM('Population Figures'!$E29:$G29)</f>
        <v>548.38520602543815</v>
      </c>
      <c r="Q69" s="280">
        <f>(C69/SUM('Population Figures'!E29:G29))*1000</f>
        <v>1.9049293710802415</v>
      </c>
      <c r="R69" s="425">
        <f>(D69/'Population Figures'!E29)*1000</f>
        <v>0</v>
      </c>
      <c r="S69" s="425">
        <f>(E69/'Population Figures'!E29)*1000</f>
        <v>550</v>
      </c>
      <c r="T69" s="280">
        <f>(F69/'Population Figures'!G29)*1000</f>
        <v>1514.0525168962588</v>
      </c>
      <c r="U69" s="425">
        <f>(G69/'Population Figures'!F29)*1000</f>
        <v>61.865284007721506</v>
      </c>
      <c r="V69" s="425">
        <f>(H69/'Population Figures'!F29)*1000</f>
        <v>163.13075266009531</v>
      </c>
      <c r="W69" s="425">
        <f>(I69/'Population Figures'!F29)*1000</f>
        <v>42.430968078856324</v>
      </c>
      <c r="X69" s="500">
        <f>(J69/'Population Figures'!F29)*1000</f>
        <v>14.240019397013979</v>
      </c>
      <c r="Y69" s="186">
        <f>(K69/'Population Figures'!F29)*1000</f>
        <v>0</v>
      </c>
      <c r="Z69" s="186">
        <f>(L69/'Population Figures'!F29)*1000</f>
        <v>0</v>
      </c>
      <c r="AA69" s="501">
        <f>(M69/'Population Figures'!F29)*1000</f>
        <v>19.30375910400716</v>
      </c>
    </row>
    <row r="70" spans="1:27">
      <c r="A70" s="7" t="s">
        <v>55</v>
      </c>
      <c r="B70" s="425">
        <v>53953</v>
      </c>
      <c r="C70" s="280">
        <v>699</v>
      </c>
      <c r="D70" s="425">
        <v>74</v>
      </c>
      <c r="E70" s="425">
        <v>9258</v>
      </c>
      <c r="F70" s="280">
        <v>26363</v>
      </c>
      <c r="G70" s="425">
        <v>4588</v>
      </c>
      <c r="H70" s="425">
        <v>9663</v>
      </c>
      <c r="I70" s="425">
        <v>2107</v>
      </c>
      <c r="J70" s="425">
        <v>165</v>
      </c>
      <c r="K70" s="280">
        <v>0</v>
      </c>
      <c r="L70" s="280">
        <v>21</v>
      </c>
      <c r="M70" s="280">
        <v>1015</v>
      </c>
      <c r="N70" s="233"/>
      <c r="O70" s="7" t="s">
        <v>55</v>
      </c>
      <c r="P70" s="425">
        <f>(B70*1000)/SUM('Population Figures'!$E30:$G30)</f>
        <v>493.75857966504987</v>
      </c>
      <c r="Q70" s="280">
        <f>(C70/SUM('Population Figures'!E30:G30))*1000</f>
        <v>6.3969982611878828</v>
      </c>
      <c r="R70" s="425">
        <f>(D70/'Population Figures'!E30)*1000</f>
        <v>3.2297486033519553</v>
      </c>
      <c r="S70" s="425">
        <f>(E70/'Population Figures'!E30)*1000</f>
        <v>404.0677374301676</v>
      </c>
      <c r="T70" s="280">
        <f>(F70/'Population Figures'!G30)*1000</f>
        <v>1256.2782940195377</v>
      </c>
      <c r="U70" s="425">
        <f>(G70/'Population Figures'!F30)*1000</f>
        <v>70.181879369158523</v>
      </c>
      <c r="V70" s="425">
        <f>(H70/'Population Figures'!F30)*1000</f>
        <v>147.81331742462484</v>
      </c>
      <c r="W70" s="425">
        <f>(I70/'Population Figures'!F30)*1000</f>
        <v>32.230431523717741</v>
      </c>
      <c r="X70" s="500">
        <f>(J70/'Population Figures'!F30)*1000</f>
        <v>2.5239777889954569</v>
      </c>
      <c r="Y70" s="186">
        <f>(K70/'Population Figures'!F30)*1000</f>
        <v>0</v>
      </c>
      <c r="Z70" s="186">
        <f>(L70/'Population Figures'!F30)*1000</f>
        <v>0.32123353678124</v>
      </c>
      <c r="AA70" s="501">
        <f>(M70/'Population Figures'!F30)*1000</f>
        <v>15.526287611093265</v>
      </c>
    </row>
    <row r="71" spans="1:27">
      <c r="A71" s="7" t="s">
        <v>56</v>
      </c>
      <c r="B71" s="425">
        <v>14720</v>
      </c>
      <c r="C71" s="280">
        <v>184</v>
      </c>
      <c r="D71" s="425">
        <v>40</v>
      </c>
      <c r="E71" s="425">
        <v>3322</v>
      </c>
      <c r="F71" s="280">
        <v>6510</v>
      </c>
      <c r="G71" s="425">
        <v>970</v>
      </c>
      <c r="H71" s="425">
        <v>2741</v>
      </c>
      <c r="I71" s="425">
        <v>645</v>
      </c>
      <c r="J71" s="425">
        <v>65</v>
      </c>
      <c r="K71" s="280">
        <v>0</v>
      </c>
      <c r="L71" s="280">
        <v>0</v>
      </c>
      <c r="M71" s="280">
        <v>243</v>
      </c>
      <c r="N71" s="233"/>
      <c r="O71" s="7" t="s">
        <v>56</v>
      </c>
      <c r="P71" s="425">
        <f>(B71*1000)/SUM('Population Figures'!$E31:$G31)</f>
        <v>670.92069279854149</v>
      </c>
      <c r="Q71" s="280">
        <f>(C71/SUM('Population Figures'!E31:G31))*1000</f>
        <v>8.386508659981768</v>
      </c>
      <c r="R71" s="425">
        <f>(D71/'Population Figures'!E31)*1000</f>
        <v>7.6863950807071477</v>
      </c>
      <c r="S71" s="425">
        <f>(E71/'Population Figures'!E31)*1000</f>
        <v>638.35511145272869</v>
      </c>
      <c r="T71" s="280">
        <f>(F71/'Population Figures'!G31)*1000</f>
        <v>2011.1214087117703</v>
      </c>
      <c r="U71" s="425">
        <f>(G71/'Population Figures'!F31)*1000</f>
        <v>71.857174605526339</v>
      </c>
      <c r="V71" s="425">
        <f>(H71/'Population Figures'!F31)*1000</f>
        <v>203.05207793169862</v>
      </c>
      <c r="W71" s="425">
        <f>(I71/'Population Figures'!F31)*1000</f>
        <v>47.78131713460256</v>
      </c>
      <c r="X71" s="500">
        <f>(J71/'Population Figures'!F31)*1000</f>
        <v>4.8151714941847548</v>
      </c>
      <c r="Y71" s="186">
        <f>(K71/'Population Figures'!F31)*1000</f>
        <v>0</v>
      </c>
      <c r="Z71" s="186">
        <f>(L71/'Population Figures'!F31)*1000</f>
        <v>0</v>
      </c>
      <c r="AA71" s="501">
        <f>(M71/'Population Figures'!F31)*1000</f>
        <v>18.00133343210608</v>
      </c>
    </row>
    <row r="72" spans="1:27">
      <c r="A72" s="7" t="s">
        <v>57</v>
      </c>
      <c r="B72" s="425">
        <v>57245</v>
      </c>
      <c r="C72" s="280">
        <v>39</v>
      </c>
      <c r="D72" s="425">
        <v>31</v>
      </c>
      <c r="E72" s="425">
        <v>13467</v>
      </c>
      <c r="F72" s="280">
        <v>30861</v>
      </c>
      <c r="G72" s="425">
        <v>3136</v>
      </c>
      <c r="H72" s="425">
        <v>7161</v>
      </c>
      <c r="I72" s="425">
        <v>971</v>
      </c>
      <c r="J72" s="425">
        <v>229</v>
      </c>
      <c r="K72" s="280">
        <v>0</v>
      </c>
      <c r="L72" s="280">
        <v>0</v>
      </c>
      <c r="M72" s="280">
        <v>1350</v>
      </c>
      <c r="O72" s="7" t="s">
        <v>57</v>
      </c>
      <c r="P72" s="425">
        <f>(B72*1000)/SUM('Population Figures'!$E32:$G32)</f>
        <v>511.80151989271343</v>
      </c>
      <c r="Q72" s="280">
        <f>(C72/SUM('Population Figures'!E32:G32))*1000</f>
        <v>0.348681269557443</v>
      </c>
      <c r="R72" s="425">
        <f>(D72/'Population Figures'!E32)*1000</f>
        <v>1.399548532731377</v>
      </c>
      <c r="S72" s="425">
        <f>(E72/'Population Figures'!E32)*1000</f>
        <v>607.99097065462763</v>
      </c>
      <c r="T72" s="280">
        <f>(F72/'Population Figures'!G32)*1000</f>
        <v>1396.4885288927101</v>
      </c>
      <c r="U72" s="425">
        <f>(G72/'Population Figures'!F32)*1000</f>
        <v>46.38984630404876</v>
      </c>
      <c r="V72" s="425">
        <f>(H72/'Population Figures'!F32)*1000</f>
        <v>105.93038564518277</v>
      </c>
      <c r="W72" s="425">
        <f>(I72/'Population Figures'!F32)*1000</f>
        <v>14.363692844780402</v>
      </c>
      <c r="X72" s="500">
        <f>(J72/'Population Figures'!F32)*1000</f>
        <v>3.3875238531974379</v>
      </c>
      <c r="Y72" s="186">
        <f>(K72/'Population Figures'!F32)*1000</f>
        <v>0</v>
      </c>
      <c r="Z72" s="186">
        <f>(L72/'Population Figures'!F32)*1000</f>
        <v>0</v>
      </c>
      <c r="AA72" s="501">
        <f>(M72/'Population Figures'!F32)*1000</f>
        <v>19.970118785225072</v>
      </c>
    </row>
    <row r="73" spans="1:27">
      <c r="A73" s="7" t="s">
        <v>58</v>
      </c>
      <c r="B73" s="425">
        <v>128093</v>
      </c>
      <c r="C73" s="280">
        <v>1799</v>
      </c>
      <c r="D73" s="425">
        <v>87</v>
      </c>
      <c r="E73" s="425">
        <v>22349</v>
      </c>
      <c r="F73" s="280">
        <v>64515</v>
      </c>
      <c r="G73" s="425">
        <v>4866</v>
      </c>
      <c r="H73" s="425">
        <v>25701</v>
      </c>
      <c r="I73" s="425">
        <v>3833</v>
      </c>
      <c r="J73" s="425">
        <v>870</v>
      </c>
      <c r="K73" s="280">
        <v>0</v>
      </c>
      <c r="L73" s="280">
        <v>0</v>
      </c>
      <c r="M73" s="280">
        <v>4073</v>
      </c>
      <c r="O73" s="7" t="s">
        <v>58</v>
      </c>
      <c r="P73" s="425">
        <f>(B73*1000)/SUM('Population Figures'!$E33:$G33)</f>
        <v>419.4132477652991</v>
      </c>
      <c r="Q73" s="280">
        <f>(C73/SUM('Population Figures'!E33:G33))*1000</f>
        <v>5.8904423561769423</v>
      </c>
      <c r="R73" s="425">
        <f>(D73/'Population Figures'!E33)*1000</f>
        <v>1.3175829168559745</v>
      </c>
      <c r="S73" s="425">
        <f>(E73/'Population Figures'!E33)*1000</f>
        <v>338.46736331970317</v>
      </c>
      <c r="T73" s="280">
        <f>(F73/'Population Figures'!G33)*1000</f>
        <v>1341.6865966517626</v>
      </c>
      <c r="U73" s="425">
        <f>(G73/'Population Figures'!F33)*1000</f>
        <v>25.437152042656628</v>
      </c>
      <c r="V73" s="425">
        <f>(H73/'Population Figures'!F33)*1000</f>
        <v>134.3527013251784</v>
      </c>
      <c r="W73" s="425">
        <f>(I73/'Population Figures'!F33)*1000</f>
        <v>20.037115449959487</v>
      </c>
      <c r="X73" s="500">
        <f>(J73/'Population Figures'!F33)*1000</f>
        <v>4.5479495020779428</v>
      </c>
      <c r="Y73" s="186">
        <f>(K73/'Population Figures'!F33)*1000</f>
        <v>0</v>
      </c>
      <c r="Z73" s="186">
        <f>(L73/'Population Figures'!F33)*1000</f>
        <v>0</v>
      </c>
      <c r="AA73" s="501">
        <f>(M73/'Population Figures'!F33)*1000</f>
        <v>21.291722209153402</v>
      </c>
    </row>
    <row r="74" spans="1:27">
      <c r="A74" s="7" t="s">
        <v>59</v>
      </c>
      <c r="B74" s="425">
        <v>41059</v>
      </c>
      <c r="C74" s="280">
        <v>320</v>
      </c>
      <c r="D74" s="425">
        <v>0</v>
      </c>
      <c r="E74" s="425">
        <v>7935</v>
      </c>
      <c r="F74" s="280">
        <v>20158</v>
      </c>
      <c r="G74" s="425">
        <v>2535</v>
      </c>
      <c r="H74" s="425">
        <v>6268</v>
      </c>
      <c r="I74" s="425">
        <v>1869</v>
      </c>
      <c r="J74" s="425">
        <v>405</v>
      </c>
      <c r="K74" s="280">
        <v>0</v>
      </c>
      <c r="L74" s="280">
        <v>0</v>
      </c>
      <c r="M74" s="280">
        <v>1569</v>
      </c>
      <c r="O74" s="7" t="s">
        <v>59</v>
      </c>
      <c r="P74" s="425">
        <f>(B74*1000)/SUM('Population Figures'!$E34:$G34)</f>
        <v>475.38497163366912</v>
      </c>
      <c r="Q74" s="280">
        <f>(C74/SUM('Population Figures'!E34:G34))*1000</f>
        <v>3.704990158619891</v>
      </c>
      <c r="R74" s="425">
        <f>(D74/'Population Figures'!E34)*1000</f>
        <v>0</v>
      </c>
      <c r="S74" s="425">
        <f>(E74/'Population Figures'!E34)*1000</f>
        <v>421.46916662240397</v>
      </c>
      <c r="T74" s="280">
        <f>(F74/'Population Figures'!G34)*1000</f>
        <v>1443.6725632027501</v>
      </c>
      <c r="U74" s="425">
        <f>(G74/'Population Figures'!F34)*1000</f>
        <v>47.312430011198209</v>
      </c>
      <c r="V74" s="425">
        <f>(H74/'Population Figures'!F34)*1000</f>
        <v>116.98394923478909</v>
      </c>
      <c r="W74" s="425">
        <f>(I74/'Population Figures'!F34)*1000</f>
        <v>34.882418812989926</v>
      </c>
      <c r="X74" s="500">
        <f>(J74/'Population Figures'!F34)*1000</f>
        <v>7.5587905935050399</v>
      </c>
      <c r="Y74" s="186">
        <f>(K74/'Population Figures'!F34)*1000</f>
        <v>0</v>
      </c>
      <c r="Z74" s="186">
        <f>(L74/'Population Figures'!F34)*1000</f>
        <v>0</v>
      </c>
      <c r="AA74" s="501">
        <f>(M74/'Population Figures'!F34)*1000</f>
        <v>29.283314669652857</v>
      </c>
    </row>
    <row r="75" spans="1:27">
      <c r="A75" s="7" t="s">
        <v>60</v>
      </c>
      <c r="B75" s="425">
        <v>60671</v>
      </c>
      <c r="C75" s="280">
        <v>545</v>
      </c>
      <c r="D75" s="425">
        <v>44</v>
      </c>
      <c r="E75" s="425">
        <v>12847</v>
      </c>
      <c r="F75" s="280">
        <v>24775</v>
      </c>
      <c r="G75" s="425">
        <v>4596</v>
      </c>
      <c r="H75" s="425">
        <v>11495</v>
      </c>
      <c r="I75" s="425">
        <v>5036</v>
      </c>
      <c r="J75" s="425">
        <v>1123</v>
      </c>
      <c r="K75" s="280">
        <v>92</v>
      </c>
      <c r="L75" s="280">
        <v>118</v>
      </c>
      <c r="M75" s="280">
        <v>0</v>
      </c>
      <c r="O75" s="7" t="s">
        <v>60</v>
      </c>
      <c r="P75" s="425">
        <f>(B75*1000)/SUM('Population Figures'!$E35:$G35)</f>
        <v>659.68250516472767</v>
      </c>
      <c r="Q75" s="280">
        <f>(C75/SUM('Population Figures'!E35:G35))*1000</f>
        <v>5.9258453843644663</v>
      </c>
      <c r="R75" s="425">
        <f>(D75/'Population Figures'!E35)*1000</f>
        <v>2.2185246810870773</v>
      </c>
      <c r="S75" s="425">
        <f>(E75/'Population Figures'!E35)*1000</f>
        <v>647.75878586194722</v>
      </c>
      <c r="T75" s="280">
        <f>(F75/'Population Figures'!G35)*1000</f>
        <v>1684.5719725300876</v>
      </c>
      <c r="U75" s="425">
        <f>(G75/'Population Figures'!F35)*1000</f>
        <v>80.027860003482502</v>
      </c>
      <c r="V75" s="425">
        <f>(H75/'Population Figures'!F35)*1000</f>
        <v>200.15671251958906</v>
      </c>
      <c r="W75" s="425">
        <f>(I75/'Population Figures'!F35)*1000</f>
        <v>87.689360961170124</v>
      </c>
      <c r="X75" s="500">
        <f>(J75/'Population Figures'!F35)*1000</f>
        <v>19.554239944279992</v>
      </c>
      <c r="Y75" s="186">
        <f>(K75/'Population Figures'!F35)*1000</f>
        <v>1.6019502002437751</v>
      </c>
      <c r="Z75" s="186">
        <f>(L75/'Population Figures'!F35)*1000</f>
        <v>2.0546752568344071</v>
      </c>
      <c r="AA75" s="501">
        <f>(M75/'Population Figures'!F35)*1000</f>
        <v>0</v>
      </c>
    </row>
    <row r="76" spans="1:27">
      <c r="A76" s="7" t="s">
        <v>61</v>
      </c>
      <c r="B76" s="425">
        <v>60506</v>
      </c>
      <c r="C76" s="280">
        <v>2390</v>
      </c>
      <c r="D76" s="425">
        <v>76</v>
      </c>
      <c r="E76" s="425">
        <v>14791</v>
      </c>
      <c r="F76" s="280">
        <v>24153</v>
      </c>
      <c r="G76" s="425">
        <v>4316</v>
      </c>
      <c r="H76" s="425">
        <v>9525</v>
      </c>
      <c r="I76" s="425">
        <v>3100</v>
      </c>
      <c r="J76" s="425">
        <v>624</v>
      </c>
      <c r="K76" s="280">
        <v>8</v>
      </c>
      <c r="L76" s="280">
        <v>4</v>
      </c>
      <c r="M76" s="280">
        <v>1519</v>
      </c>
      <c r="O76" s="7" t="s">
        <v>61</v>
      </c>
      <c r="P76" s="425">
        <f>(B76*1000)/SUM('Population Figures'!$E36:$G36)</f>
        <v>371.56718251043969</v>
      </c>
      <c r="Q76" s="280">
        <f>(C76/SUM('Population Figures'!E36:G36))*1000</f>
        <v>14.676983542127243</v>
      </c>
      <c r="R76" s="425">
        <f>(D76/'Population Figures'!E36)*1000</f>
        <v>1.9528740653184984</v>
      </c>
      <c r="S76" s="425">
        <f>(E76/'Population Figures'!E36)*1000</f>
        <v>380.06526710691986</v>
      </c>
      <c r="T76" s="280">
        <f>(F76/'Population Figures'!G36)*1000</f>
        <v>1220.0333383846039</v>
      </c>
      <c r="U76" s="425">
        <f>(G76/'Population Figures'!F36)*1000</f>
        <v>41.449781994890806</v>
      </c>
      <c r="V76" s="425">
        <f>(H76/'Population Figures'!F36)*1000</f>
        <v>91.475712118010861</v>
      </c>
      <c r="W76" s="425">
        <f>(I76/'Population Figures'!F36)*1000</f>
        <v>29.771622841557345</v>
      </c>
      <c r="X76" s="500">
        <f>(J76/'Population Figures'!F36)*1000</f>
        <v>5.9927395655263815</v>
      </c>
      <c r="Y76" s="186">
        <f>(K76/'Population Figures'!F36)*1000</f>
        <v>7.682999442982541E-2</v>
      </c>
      <c r="Z76" s="186">
        <f>(L76/'Population Figures'!F36)*1000</f>
        <v>3.8414997214912705E-2</v>
      </c>
      <c r="AA76" s="501">
        <f>(M76/'Population Figures'!F36)*1000</f>
        <v>14.588095192363099</v>
      </c>
    </row>
    <row r="77" spans="1:27">
      <c r="A77" s="52" t="s">
        <v>5</v>
      </c>
      <c r="B77" s="53">
        <f>SUM(B45:B76)</f>
        <v>2621134</v>
      </c>
      <c r="C77" s="52">
        <f t="shared" ref="C77:M77" si="3">SUM(C45:C76)</f>
        <v>24734</v>
      </c>
      <c r="D77" s="53">
        <f t="shared" si="3"/>
        <v>2289</v>
      </c>
      <c r="E77" s="53">
        <f t="shared" si="3"/>
        <v>541504</v>
      </c>
      <c r="F77" s="52">
        <f t="shared" si="3"/>
        <v>1192075</v>
      </c>
      <c r="G77" s="53">
        <f t="shared" si="3"/>
        <v>168505</v>
      </c>
      <c r="H77" s="53">
        <f t="shared" si="3"/>
        <v>439124</v>
      </c>
      <c r="I77" s="53">
        <f t="shared" si="3"/>
        <v>132525</v>
      </c>
      <c r="J77" s="53">
        <f t="shared" si="3"/>
        <v>34577</v>
      </c>
      <c r="K77" s="52">
        <f t="shared" si="3"/>
        <v>2239</v>
      </c>
      <c r="L77" s="52">
        <f t="shared" si="3"/>
        <v>3366</v>
      </c>
      <c r="M77" s="52">
        <f t="shared" si="3"/>
        <v>80196</v>
      </c>
      <c r="N77" s="1"/>
      <c r="O77" s="52" t="s">
        <v>5</v>
      </c>
      <c r="P77" s="53">
        <f>(B77*1000)/SUM('Population Figures'!$E37:$G37)</f>
        <v>516.13382167611849</v>
      </c>
      <c r="Q77" s="52">
        <f>(C77/SUM('Population Figures'!E37:G37))*1000</f>
        <v>4.8704316320100824</v>
      </c>
      <c r="R77" s="53">
        <f>(D77/'Population Figures'!E37)*1000</f>
        <v>2.1459790783446429</v>
      </c>
      <c r="S77" s="53">
        <f>(E77/'Population Figures'!E37)*1000</f>
        <v>507.66983610307449</v>
      </c>
      <c r="T77" s="52">
        <f>(F77/'Population Figures'!G37)*1000</f>
        <v>1442.222770684069</v>
      </c>
      <c r="U77" s="53">
        <f>(G77/'Population Figures'!F37)*1000</f>
        <v>52.902486500062786</v>
      </c>
      <c r="V77" s="53">
        <f>(H77/'Population Figures'!F37)*1000</f>
        <v>137.86387040060279</v>
      </c>
      <c r="W77" s="53">
        <f>(I77/'Population Figures'!F37)*1000</f>
        <v>41.606492527941732</v>
      </c>
      <c r="X77" s="445">
        <f>(J77/'Population Figures'!F37)*1000</f>
        <v>10.855519276654526</v>
      </c>
      <c r="Y77" s="446">
        <f>(K77/'Population Figures'!F37)*1000</f>
        <v>0.7029385909832977</v>
      </c>
      <c r="Z77" s="446">
        <f>(L77/'Population Figures'!F37)*1000</f>
        <v>1.0567625266859224</v>
      </c>
      <c r="AA77" s="446">
        <f>(M77/'Population Figures'!F37)*1000</f>
        <v>25.177696847921638</v>
      </c>
    </row>
  </sheetData>
  <sheetProtection selectLockedCells="1" selectUnlockedCells="1"/>
  <mergeCells count="4">
    <mergeCell ref="B1:M1"/>
    <mergeCell ref="O1:Z1"/>
    <mergeCell ref="B43:M43"/>
    <mergeCell ref="O43:Z43"/>
  </mergeCells>
  <phoneticPr fontId="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6"/>
  </sheetPr>
  <dimension ref="A1:AA77"/>
  <sheetViews>
    <sheetView zoomScale="85" zoomScaleNormal="85" workbookViewId="0">
      <selection activeCell="B39" sqref="B39"/>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row>
    <row r="3" spans="1:27">
      <c r="A3" s="7" t="s">
        <v>31</v>
      </c>
      <c r="B3" s="8">
        <f>B45*$D$39</f>
        <v>155282.77817329293</v>
      </c>
      <c r="C3" s="7">
        <f t="shared" ref="C3:M3" si="0">C45*$D$39</f>
        <v>782.21532116510593</v>
      </c>
      <c r="D3" s="8">
        <f t="shared" si="0"/>
        <v>0</v>
      </c>
      <c r="E3" s="8">
        <f t="shared" si="0"/>
        <v>31625.202469651038</v>
      </c>
      <c r="F3" s="7">
        <f t="shared" si="0"/>
        <v>64848.020474045356</v>
      </c>
      <c r="G3" s="8">
        <f t="shared" si="0"/>
        <v>11129.975880396227</v>
      </c>
      <c r="H3" s="8">
        <f t="shared" si="0"/>
        <v>27946.420110716965</v>
      </c>
      <c r="I3" s="8">
        <f t="shared" si="0"/>
        <v>10397.537897850718</v>
      </c>
      <c r="J3" s="8">
        <f t="shared" si="0"/>
        <v>3556.7093618431559</v>
      </c>
      <c r="K3" s="7">
        <f t="shared" si="0"/>
        <v>0</v>
      </c>
      <c r="L3" s="7">
        <f t="shared" si="0"/>
        <v>16.59244620653255</v>
      </c>
      <c r="M3" s="7">
        <f t="shared" si="0"/>
        <v>4980.1042114178408</v>
      </c>
      <c r="O3" s="7" t="s">
        <v>31</v>
      </c>
      <c r="P3" s="8">
        <f>(B3*1000)/SUM('Population Figures'!$H5:$J5)</f>
        <v>754.12936804085734</v>
      </c>
      <c r="Q3" s="7">
        <f>(C3*1000)/SUM('Population Figures'!$H5:$J5)</f>
        <v>3.7988214324952936</v>
      </c>
      <c r="R3" s="8">
        <f>(D3*1000)/SUM('Population Figures'!$H5)</f>
        <v>0</v>
      </c>
      <c r="S3" s="8">
        <f>(E3*1000)/SUM('Population Figures'!$H5)</f>
        <v>839.35459604148411</v>
      </c>
      <c r="T3" s="7">
        <f>(F3*1000)/SUM('Population Figures'!$J5)</f>
        <v>2001.6056693019741</v>
      </c>
      <c r="U3" s="8">
        <f>(G3*1000)/SUM('Population Figures'!$I5)</f>
        <v>81.938070589073618</v>
      </c>
      <c r="V3" s="8">
        <f>(H3*1000)/SUM('Population Figures'!$I5)</f>
        <v>205.739506388069</v>
      </c>
      <c r="W3" s="8">
        <f>(I3*1000)/SUM('Population Figures'!$I5)</f>
        <v>76.545915587045357</v>
      </c>
      <c r="X3" s="8">
        <f>(J3*1000)/SUM('Population Figures'!$I5)</f>
        <v>26.184234888490035</v>
      </c>
      <c r="Y3" s="7">
        <f>(K3*1000)/SUM('Population Figures'!$I5)</f>
        <v>0</v>
      </c>
      <c r="Z3" s="7">
        <f>(L3*1000)/SUM('Population Figures'!$I5)</f>
        <v>0.1221523786867246</v>
      </c>
      <c r="AA3" s="7">
        <f>(M3*1000)/SUM('Population Figures'!$I5)</f>
        <v>36.663163945829766</v>
      </c>
    </row>
    <row r="4" spans="1:27">
      <c r="A4" s="7" t="s">
        <v>32</v>
      </c>
      <c r="B4" s="8">
        <f t="shared" ref="B4:M35" si="1">B46*$D$39</f>
        <v>129551.44963114806</v>
      </c>
      <c r="C4" s="7">
        <f t="shared" si="1"/>
        <v>1208.8782236187999</v>
      </c>
      <c r="D4" s="8">
        <f t="shared" si="1"/>
        <v>133.92474438129844</v>
      </c>
      <c r="E4" s="8">
        <f t="shared" si="1"/>
        <v>21871.214449667976</v>
      </c>
      <c r="F4" s="7">
        <f t="shared" si="1"/>
        <v>60960.647362800584</v>
      </c>
      <c r="G4" s="8">
        <f t="shared" si="1"/>
        <v>4519.0712418220437</v>
      </c>
      <c r="H4" s="8">
        <f t="shared" si="1"/>
        <v>32259.27094968639</v>
      </c>
      <c r="I4" s="8">
        <f t="shared" si="1"/>
        <v>4529.7378143833857</v>
      </c>
      <c r="J4" s="8">
        <f t="shared" si="1"/>
        <v>1750.503074789184</v>
      </c>
      <c r="K4" s="7">
        <f t="shared" si="1"/>
        <v>0</v>
      </c>
      <c r="L4" s="7">
        <f t="shared" si="1"/>
        <v>0</v>
      </c>
      <c r="M4" s="7">
        <f t="shared" si="1"/>
        <v>2318.2017699984049</v>
      </c>
      <c r="O4" s="7" t="s">
        <v>32</v>
      </c>
      <c r="P4" s="8">
        <f>(B4*1000)/SUM('Population Figures'!$H6:$J6)</f>
        <v>554.99057375293683</v>
      </c>
      <c r="Q4" s="7">
        <f>(C4*1000)/SUM('Population Figures'!$H6:$J6)</f>
        <v>5.1787611858749942</v>
      </c>
      <c r="R4" s="8">
        <f>(D4*1000)/SUM('Population Figures'!$H6)</f>
        <v>2.5466787932855106</v>
      </c>
      <c r="S4" s="8">
        <f>(E4*1000)/SUM('Population Figures'!$H6)</f>
        <v>415.89743762204256</v>
      </c>
      <c r="T4" s="7">
        <f>(F4*1000)/SUM('Population Figures'!$J6)</f>
        <v>1702.5260392895209</v>
      </c>
      <c r="U4" s="8">
        <f>(G4*1000)/SUM('Population Figures'!$I6)</f>
        <v>31.158272717270496</v>
      </c>
      <c r="V4" s="8">
        <f>(H4*1000)/SUM('Population Figures'!$I6)</f>
        <v>222.42250854743918</v>
      </c>
      <c r="W4" s="8">
        <f>(I4*1000)/SUM('Population Figures'!$I6)</f>
        <v>31.231817027382068</v>
      </c>
      <c r="X4" s="8">
        <f>(J4*1000)/SUM('Population Figures'!$I6)</f>
        <v>12.069438448310652</v>
      </c>
      <c r="Y4" s="7">
        <f>(K4*1000)/SUM('Population Figures'!$I6)</f>
        <v>0</v>
      </c>
      <c r="Z4" s="7">
        <f>(L4*1000)/SUM('Population Figures'!$I6)</f>
        <v>0</v>
      </c>
      <c r="AA4" s="7">
        <f>(M4*1000)/SUM('Population Figures'!$I6)</f>
        <v>15.983630064248908</v>
      </c>
    </row>
    <row r="5" spans="1:27">
      <c r="A5" s="7" t="s">
        <v>33</v>
      </c>
      <c r="B5" s="8">
        <f t="shared" si="1"/>
        <v>68984.280278388105</v>
      </c>
      <c r="C5" s="7">
        <f t="shared" si="1"/>
        <v>386.36696166640081</v>
      </c>
      <c r="D5" s="8">
        <f t="shared" si="1"/>
        <v>150.51719058783098</v>
      </c>
      <c r="E5" s="8">
        <f t="shared" si="1"/>
        <v>14165.208361462644</v>
      </c>
      <c r="F5" s="7">
        <f t="shared" si="1"/>
        <v>37182.486774110403</v>
      </c>
      <c r="G5" s="8">
        <f t="shared" si="1"/>
        <v>3461.8953835201128</v>
      </c>
      <c r="H5" s="8">
        <f t="shared" si="1"/>
        <v>9625.9891492469542</v>
      </c>
      <c r="I5" s="8">
        <f t="shared" si="1"/>
        <v>2045.6115823196558</v>
      </c>
      <c r="J5" s="8">
        <f t="shared" si="1"/>
        <v>333.03409885968904</v>
      </c>
      <c r="K5" s="7">
        <f t="shared" si="1"/>
        <v>5.9258736451901957</v>
      </c>
      <c r="L5" s="7">
        <f t="shared" si="1"/>
        <v>0</v>
      </c>
      <c r="M5" s="7">
        <f t="shared" si="1"/>
        <v>1627.244902969228</v>
      </c>
      <c r="O5" s="7" t="s">
        <v>33</v>
      </c>
      <c r="P5" s="8">
        <f>(B5*1000)/SUM('Population Figures'!$H7:$J7)</f>
        <v>634.10497544248642</v>
      </c>
      <c r="Q5" s="7">
        <f>(C5*1000)/SUM('Population Figures'!$H7:$J7)</f>
        <v>3.5514933511021312</v>
      </c>
      <c r="R5" s="8">
        <f>(D5*1000)/SUM('Population Figures'!$H7)</f>
        <v>6.6149771727094571</v>
      </c>
      <c r="S5" s="8">
        <f>(E5*1000)/SUM('Population Figures'!$H7)</f>
        <v>622.53706431671992</v>
      </c>
      <c r="T5" s="7">
        <f>(F5*1000)/SUM('Population Figures'!$J7)</f>
        <v>1812.1886526030996</v>
      </c>
      <c r="U5" s="8">
        <f>(G5*1000)/SUM('Population Figures'!$I7)</f>
        <v>52.838844035533945</v>
      </c>
      <c r="V5" s="8">
        <f>(H5*1000)/SUM('Population Figures'!$I7)</f>
        <v>146.92129108408307</v>
      </c>
      <c r="W5" s="8">
        <f>(I5*1000)/SUM('Population Figures'!$I7)</f>
        <v>31.222131052835184</v>
      </c>
      <c r="X5" s="8">
        <f>(J5*1000)/SUM('Population Figures'!$I7)</f>
        <v>5.0830931783584514</v>
      </c>
      <c r="Y5" s="7">
        <f>(K5*1000)/SUM('Population Figures'!$I7)</f>
        <v>9.0446497835559636E-2</v>
      </c>
      <c r="Z5" s="7">
        <f>(L5*1000)/SUM('Population Figures'!$I7)</f>
        <v>0</v>
      </c>
      <c r="AA5" s="7">
        <f>(M5*1000)/SUM('Population Figures'!$I7)</f>
        <v>24.836608305644678</v>
      </c>
    </row>
    <row r="6" spans="1:27">
      <c r="A6" s="7" t="s">
        <v>34</v>
      </c>
      <c r="B6" s="8">
        <f t="shared" si="1"/>
        <v>52064.725846641064</v>
      </c>
      <c r="C6" s="7">
        <f t="shared" si="1"/>
        <v>1097.4717990892243</v>
      </c>
      <c r="D6" s="8">
        <f t="shared" si="1"/>
        <v>67.554959555168239</v>
      </c>
      <c r="E6" s="8">
        <f t="shared" si="1"/>
        <v>10371.464053811882</v>
      </c>
      <c r="F6" s="7">
        <f t="shared" si="1"/>
        <v>27163.019614822821</v>
      </c>
      <c r="G6" s="8">
        <f t="shared" si="1"/>
        <v>1038.2130626373223</v>
      </c>
      <c r="H6" s="8">
        <f t="shared" si="1"/>
        <v>10135.614282733311</v>
      </c>
      <c r="I6" s="8">
        <f t="shared" si="1"/>
        <v>2001.7601173452483</v>
      </c>
      <c r="J6" s="8">
        <f t="shared" si="1"/>
        <v>232.29424689145569</v>
      </c>
      <c r="K6" s="7">
        <f t="shared" si="1"/>
        <v>0</v>
      </c>
      <c r="L6" s="7">
        <f t="shared" si="1"/>
        <v>0</v>
      </c>
      <c r="M6" s="7">
        <f t="shared" si="1"/>
        <v>-42.66629024536941</v>
      </c>
      <c r="O6" s="7" t="s">
        <v>34</v>
      </c>
      <c r="P6" s="8">
        <f>(B6*1000)/SUM('Population Figures'!$H8:$J8)</f>
        <v>572.95835640630639</v>
      </c>
      <c r="Q6" s="7">
        <f>(C6*1000)/SUM('Population Figures'!$H8:$J8)</f>
        <v>12.077383064699289</v>
      </c>
      <c r="R6" s="8">
        <f>(D6*1000)/SUM('Population Figures'!$H8)</f>
        <v>3.6728624778539793</v>
      </c>
      <c r="S6" s="8">
        <f>(E6*1000)/SUM('Population Figures'!$H8)</f>
        <v>563.88104462631884</v>
      </c>
      <c r="T6" s="7">
        <f>(F6*1000)/SUM('Population Figures'!$J8)</f>
        <v>1513.2601456725804</v>
      </c>
      <c r="U6" s="8">
        <f>(G6*1000)/SUM('Population Figures'!$I8)</f>
        <v>19.040348132802507</v>
      </c>
      <c r="V6" s="8">
        <f>(H6*1000)/SUM('Population Figures'!$I8)</f>
        <v>185.88248542434596</v>
      </c>
      <c r="W6" s="8">
        <f>(I6*1000)/SUM('Population Figures'!$I8)</f>
        <v>36.711356160163739</v>
      </c>
      <c r="X6" s="8">
        <f>(J6*1000)/SUM('Population Figures'!$I8)</f>
        <v>4.2601692169284151</v>
      </c>
      <c r="Y6" s="7">
        <f>(K6*1000)/SUM('Population Figures'!$I8)</f>
        <v>0</v>
      </c>
      <c r="Z6" s="7">
        <f>(L6*1000)/SUM('Population Figures'!$I8)</f>
        <v>0</v>
      </c>
      <c r="AA6" s="7">
        <f>(M6*1000)/SUM('Population Figures'!$I8)</f>
        <v>-0.78248006025215788</v>
      </c>
    </row>
    <row r="7" spans="1:27">
      <c r="A7" s="7" t="s">
        <v>35</v>
      </c>
      <c r="B7" s="8">
        <f t="shared" si="1"/>
        <v>29705.219408609413</v>
      </c>
      <c r="C7" s="7">
        <f t="shared" si="1"/>
        <v>619.84638328689448</v>
      </c>
      <c r="D7" s="8">
        <f t="shared" si="1"/>
        <v>17.777620935570589</v>
      </c>
      <c r="E7" s="8">
        <f t="shared" si="1"/>
        <v>5790.7637260798592</v>
      </c>
      <c r="F7" s="7">
        <f t="shared" si="1"/>
        <v>13874.840552848325</v>
      </c>
      <c r="G7" s="8">
        <f t="shared" si="1"/>
        <v>2687.9762854582727</v>
      </c>
      <c r="H7" s="8">
        <f t="shared" si="1"/>
        <v>3664.5602621856174</v>
      </c>
      <c r="I7" s="8">
        <f t="shared" si="1"/>
        <v>1663.985319569407</v>
      </c>
      <c r="J7" s="8">
        <f t="shared" si="1"/>
        <v>68.740134284206277</v>
      </c>
      <c r="K7" s="7">
        <f t="shared" si="1"/>
        <v>0</v>
      </c>
      <c r="L7" s="7">
        <f t="shared" si="1"/>
        <v>0</v>
      </c>
      <c r="M7" s="7">
        <f t="shared" si="1"/>
        <v>1316.7291239612616</v>
      </c>
      <c r="O7" s="7" t="s">
        <v>35</v>
      </c>
      <c r="P7" s="8">
        <f>(B7*1000)/SUM('Population Figures'!$H9:$J9)</f>
        <v>610.84144373040124</v>
      </c>
      <c r="Q7" s="7">
        <f>(C7*1000)/SUM('Population Figures'!$H9:$J9)</f>
        <v>12.74617280047079</v>
      </c>
      <c r="R7" s="8">
        <f>(D7*1000)/SUM('Population Figures'!$H9)</f>
        <v>1.6434890390654147</v>
      </c>
      <c r="S7" s="8">
        <f>(E7*1000)/SUM('Population Figures'!$H9)</f>
        <v>535.33916299157431</v>
      </c>
      <c r="T7" s="7">
        <f>(F7*1000)/SUM('Population Figures'!$J9)</f>
        <v>1879.8049793860353</v>
      </c>
      <c r="U7" s="8">
        <f>(G7*1000)/SUM('Population Figures'!$I9)</f>
        <v>88.327296446446923</v>
      </c>
      <c r="V7" s="8">
        <f>(H7*1000)/SUM('Population Figures'!$I9)</f>
        <v>120.41798968801319</v>
      </c>
      <c r="W7" s="8">
        <f>(I7*1000)/SUM('Population Figures'!$I9)</f>
        <v>54.67880256208619</v>
      </c>
      <c r="X7" s="8">
        <f>(J7*1000)/SUM('Population Figures'!$I9)</f>
        <v>2.2588109320519938</v>
      </c>
      <c r="Y7" s="7">
        <f>(K7*1000)/SUM('Population Figures'!$I9)</f>
        <v>0</v>
      </c>
      <c r="Z7" s="7">
        <f>(L7*1000)/SUM('Population Figures'!$I9)</f>
        <v>0</v>
      </c>
      <c r="AA7" s="7">
        <f>(M7*1000)/SUM('Population Figures'!$I9)</f>
        <v>43.267912853616643</v>
      </c>
    </row>
    <row r="8" spans="1:27">
      <c r="A8" s="7" t="s">
        <v>36</v>
      </c>
      <c r="B8" s="8">
        <f t="shared" si="1"/>
        <v>95088.938860179958</v>
      </c>
      <c r="C8" s="7">
        <f t="shared" si="1"/>
        <v>1066.6572561342352</v>
      </c>
      <c r="D8" s="8">
        <f t="shared" si="1"/>
        <v>129.18404546514628</v>
      </c>
      <c r="E8" s="8">
        <f t="shared" si="1"/>
        <v>18329.912359302314</v>
      </c>
      <c r="F8" s="7">
        <f t="shared" si="1"/>
        <v>47147.43589586224</v>
      </c>
      <c r="G8" s="8">
        <f t="shared" si="1"/>
        <v>7322.0094759970061</v>
      </c>
      <c r="H8" s="8">
        <f t="shared" si="1"/>
        <v>13835.729786790071</v>
      </c>
      <c r="I8" s="8">
        <f t="shared" si="1"/>
        <v>3690.6341062244542</v>
      </c>
      <c r="J8" s="8">
        <f t="shared" si="1"/>
        <v>554.66177318980237</v>
      </c>
      <c r="K8" s="7">
        <f t="shared" si="1"/>
        <v>0</v>
      </c>
      <c r="L8" s="7">
        <f t="shared" si="1"/>
        <v>1.1851747290380392</v>
      </c>
      <c r="M8" s="7">
        <f t="shared" si="1"/>
        <v>3011.5289864856577</v>
      </c>
      <c r="O8" s="7" t="s">
        <v>36</v>
      </c>
      <c r="P8" s="8">
        <f>(B8*1000)/SUM('Population Figures'!$H10:$J10)</f>
        <v>641.02021612633109</v>
      </c>
      <c r="Q8" s="7">
        <f>(C8*1000)/SUM('Population Figures'!$H10:$J10)</f>
        <v>7.1906246200231587</v>
      </c>
      <c r="R8" s="8">
        <f>(D8*1000)/SUM('Population Figures'!$H10)</f>
        <v>4.3391121008043223</v>
      </c>
      <c r="S8" s="8">
        <f>(E8*1000)/SUM('Population Figures'!$H10)</f>
        <v>615.67621789944633</v>
      </c>
      <c r="T8" s="7">
        <f>(F8*1000)/SUM('Population Figures'!$J10)</f>
        <v>1556.2264290950038</v>
      </c>
      <c r="U8" s="8">
        <f>(G8*1000)/SUM('Population Figures'!$I10)</f>
        <v>82.948267581985306</v>
      </c>
      <c r="V8" s="8">
        <f>(H8*1000)/SUM('Population Figures'!$I10)</f>
        <v>156.7397338543374</v>
      </c>
      <c r="W8" s="8">
        <f>(I8*1000)/SUM('Population Figures'!$I10)</f>
        <v>41.809793663046655</v>
      </c>
      <c r="X8" s="8">
        <f>(J8*1000)/SUM('Population Figures'!$I10)</f>
        <v>6.2835528048509426</v>
      </c>
      <c r="Y8" s="7">
        <f>(K8*1000)/SUM('Population Figures'!$I10)</f>
        <v>0</v>
      </c>
      <c r="Z8" s="7">
        <f>(L8*1000)/SUM('Population Figures'!$I10)</f>
        <v>1.3426394882160133E-2</v>
      </c>
      <c r="AA8" s="7">
        <f>(M8*1000)/SUM('Population Figures'!$I10)</f>
        <v>34.116469395568899</v>
      </c>
    </row>
    <row r="9" spans="1:27">
      <c r="A9" s="7" t="s">
        <v>37</v>
      </c>
      <c r="B9" s="8">
        <f t="shared" si="1"/>
        <v>102984.57290503138</v>
      </c>
      <c r="C9" s="7">
        <f t="shared" si="1"/>
        <v>905.47349298506197</v>
      </c>
      <c r="D9" s="8">
        <f t="shared" si="1"/>
        <v>201.47970393646668</v>
      </c>
      <c r="E9" s="8">
        <f t="shared" si="1"/>
        <v>27370.425192404477</v>
      </c>
      <c r="F9" s="7">
        <f t="shared" si="1"/>
        <v>44553.088413997968</v>
      </c>
      <c r="G9" s="8">
        <f t="shared" si="1"/>
        <v>7427.4900268813917</v>
      </c>
      <c r="H9" s="8">
        <f t="shared" si="1"/>
        <v>12816.479519817356</v>
      </c>
      <c r="I9" s="8">
        <f t="shared" si="1"/>
        <v>3374.1924535712978</v>
      </c>
      <c r="J9" s="8">
        <f t="shared" si="1"/>
        <v>650.66092624188354</v>
      </c>
      <c r="K9" s="7">
        <f t="shared" si="1"/>
        <v>253.62739201414038</v>
      </c>
      <c r="L9" s="7">
        <f t="shared" si="1"/>
        <v>0</v>
      </c>
      <c r="M9" s="7">
        <f t="shared" si="1"/>
        <v>5431.6557831813334</v>
      </c>
      <c r="O9" s="7" t="s">
        <v>37</v>
      </c>
      <c r="P9" s="8">
        <f>(B9*1000)/SUM('Population Figures'!$H11:$J11)</f>
        <v>723.409475309296</v>
      </c>
      <c r="Q9" s="7">
        <f>(C9*1000)/SUM('Population Figures'!$H11:$J11)</f>
        <v>6.3604488127638517</v>
      </c>
      <c r="R9" s="8">
        <f>(D9*1000)/SUM('Population Figures'!$H11)</f>
        <v>7.2725853283448849</v>
      </c>
      <c r="S9" s="8">
        <f>(E9*1000)/SUM('Population Figures'!$H11)</f>
        <v>987.95932689880431</v>
      </c>
      <c r="T9" s="7">
        <f>(F9*1000)/SUM('Population Figures'!$J11)</f>
        <v>1736.2855968042857</v>
      </c>
      <c r="U9" s="8">
        <f>(G9*1000)/SUM('Population Figures'!$I11)</f>
        <v>83.458695074850468</v>
      </c>
      <c r="V9" s="8">
        <f>(H9*1000)/SUM('Population Figures'!$I11)</f>
        <v>144.01186030627619</v>
      </c>
      <c r="W9" s="8">
        <f>(I9*1000)/SUM('Population Figures'!$I11)</f>
        <v>37.91397875827338</v>
      </c>
      <c r="X9" s="8">
        <f>(J9*1000)/SUM('Population Figures'!$I11)</f>
        <v>7.3111255139768474</v>
      </c>
      <c r="Y9" s="7">
        <f>(K9*1000)/SUM('Population Figures'!$I11)</f>
        <v>2.8498740619144725</v>
      </c>
      <c r="Z9" s="7">
        <f>(L9*1000)/SUM('Population Figures'!$I11)</f>
        <v>0</v>
      </c>
      <c r="AA9" s="7">
        <f>(M9*1000)/SUM('Population Figures'!$I11)</f>
        <v>61.032583297916005</v>
      </c>
    </row>
    <row r="10" spans="1:27">
      <c r="A10" s="7" t="s">
        <v>38</v>
      </c>
      <c r="B10" s="8">
        <f t="shared" si="1"/>
        <v>73447.648307945361</v>
      </c>
      <c r="C10" s="7">
        <f t="shared" si="1"/>
        <v>527.4027544219274</v>
      </c>
      <c r="D10" s="8">
        <f t="shared" si="1"/>
        <v>129.18404546514628</v>
      </c>
      <c r="E10" s="8">
        <f t="shared" si="1"/>
        <v>14404.613656728328</v>
      </c>
      <c r="F10" s="7">
        <f t="shared" si="1"/>
        <v>35917.905338226818</v>
      </c>
      <c r="G10" s="8">
        <f t="shared" si="1"/>
        <v>3774.7815119861548</v>
      </c>
      <c r="H10" s="8">
        <f t="shared" si="1"/>
        <v>13033.366495231317</v>
      </c>
      <c r="I10" s="8">
        <f t="shared" si="1"/>
        <v>2765.0126428457456</v>
      </c>
      <c r="J10" s="8">
        <f t="shared" si="1"/>
        <v>164.73928733628745</v>
      </c>
      <c r="K10" s="7">
        <f t="shared" si="1"/>
        <v>0</v>
      </c>
      <c r="L10" s="7">
        <f t="shared" si="1"/>
        <v>0</v>
      </c>
      <c r="M10" s="7">
        <f t="shared" si="1"/>
        <v>2730.6425757036423</v>
      </c>
      <c r="O10" s="7" t="s">
        <v>38</v>
      </c>
      <c r="P10" s="8">
        <f>(B10*1000)/SUM('Population Figures'!$H12:$J12)</f>
        <v>615.13943306486897</v>
      </c>
      <c r="Q10" s="7">
        <f>(C10*1000)/SUM('Population Figures'!$H12:$J12)</f>
        <v>4.4171084959960414</v>
      </c>
      <c r="R10" s="8">
        <f>(D10*1000)/SUM('Population Figures'!$H12)</f>
        <v>5.0287689464419119</v>
      </c>
      <c r="S10" s="8">
        <f>(E10*1000)/SUM('Population Figures'!$H12)</f>
        <v>560.73080527573393</v>
      </c>
      <c r="T10" s="7">
        <f>(F10*1000)/SUM('Population Figures'!$J12)</f>
        <v>1813.2114361263475</v>
      </c>
      <c r="U10" s="8">
        <f>(G10*1000)/SUM('Population Figures'!$I12)</f>
        <v>51.078205082219085</v>
      </c>
      <c r="V10" s="8">
        <f>(H10*1000)/SUM('Population Figures'!$I12)</f>
        <v>176.36013227289271</v>
      </c>
      <c r="W10" s="8">
        <f>(I10*1000)/SUM('Population Figures'!$I12)</f>
        <v>37.414584758812289</v>
      </c>
      <c r="X10" s="8">
        <f>(J10*1000)/SUM('Population Figures'!$I12)</f>
        <v>2.2291587147342078</v>
      </c>
      <c r="Y10" s="7">
        <f>(K10*1000)/SUM('Population Figures'!$I12)</f>
        <v>0</v>
      </c>
      <c r="Z10" s="7">
        <f>(L10*1000)/SUM('Population Figures'!$I12)</f>
        <v>0</v>
      </c>
      <c r="AA10" s="7">
        <f>(M10*1000)/SUM('Population Figures'!$I12)</f>
        <v>36.949508480198674</v>
      </c>
    </row>
    <row r="11" spans="1:27">
      <c r="A11" s="7" t="s">
        <v>39</v>
      </c>
      <c r="B11" s="8">
        <f t="shared" si="1"/>
        <v>48024.465195350385</v>
      </c>
      <c r="C11" s="7">
        <f t="shared" si="1"/>
        <v>1149.6194871668981</v>
      </c>
      <c r="D11" s="8">
        <f t="shared" si="1"/>
        <v>5.9258736451901957</v>
      </c>
      <c r="E11" s="8">
        <f t="shared" si="1"/>
        <v>8935.0322822177768</v>
      </c>
      <c r="F11" s="7">
        <f t="shared" si="1"/>
        <v>20646.928954571682</v>
      </c>
      <c r="G11" s="8">
        <f t="shared" si="1"/>
        <v>3196.4162442155916</v>
      </c>
      <c r="H11" s="8">
        <f t="shared" si="1"/>
        <v>10542.129214793358</v>
      </c>
      <c r="I11" s="8">
        <f t="shared" si="1"/>
        <v>2977.1589193435543</v>
      </c>
      <c r="J11" s="8">
        <f t="shared" si="1"/>
        <v>466.95884324098745</v>
      </c>
      <c r="K11" s="7">
        <f t="shared" si="1"/>
        <v>0</v>
      </c>
      <c r="L11" s="7">
        <f t="shared" si="1"/>
        <v>0</v>
      </c>
      <c r="M11" s="7">
        <f t="shared" si="1"/>
        <v>104.29537615534745</v>
      </c>
      <c r="O11" s="7" t="s">
        <v>39</v>
      </c>
      <c r="P11" s="8">
        <f>(B11*1000)/SUM('Population Figures'!$H13:$J13)</f>
        <v>453.23202336117765</v>
      </c>
      <c r="Q11" s="7">
        <f>(C11*1000)/SUM('Population Figures'!$H13:$J13)</f>
        <v>10.849561034040185</v>
      </c>
      <c r="R11" s="8">
        <f>(D11*1000)/SUM('Population Figures'!$H13)</f>
        <v>0.25489821254259276</v>
      </c>
      <c r="S11" s="8">
        <f>(E11*1000)/SUM('Population Figures'!$H13)</f>
        <v>384.3355248717213</v>
      </c>
      <c r="T11" s="7">
        <f>(F11*1000)/SUM('Population Figures'!$J13)</f>
        <v>1128.1241915949995</v>
      </c>
      <c r="U11" s="8">
        <f>(G11*1000)/SUM('Population Figures'!$I13)</f>
        <v>49.626086697959813</v>
      </c>
      <c r="V11" s="8">
        <f>(H11*1000)/SUM('Population Figures'!$I13)</f>
        <v>163.67224367013441</v>
      </c>
      <c r="W11" s="8">
        <f>(I11*1000)/SUM('Population Figures'!$I13)</f>
        <v>46.221998437254378</v>
      </c>
      <c r="X11" s="8">
        <f>(J11*1000)/SUM('Population Figures'!$I13)</f>
        <v>7.2497879714483382</v>
      </c>
      <c r="Y11" s="7">
        <f>(K11*1000)/SUM('Population Figures'!$I13)</f>
        <v>0</v>
      </c>
      <c r="Z11" s="7">
        <f>(L11*1000)/SUM('Population Figures'!$I13)</f>
        <v>0</v>
      </c>
      <c r="AA11" s="7">
        <f>(M11*1000)/SUM('Population Figures'!$I13)</f>
        <v>1.619241983470695</v>
      </c>
    </row>
    <row r="12" spans="1:27">
      <c r="A12" s="7" t="s">
        <v>40</v>
      </c>
      <c r="B12" s="8">
        <f t="shared" si="1"/>
        <v>65211.869115860034</v>
      </c>
      <c r="C12" s="7">
        <f t="shared" si="1"/>
        <v>472.88471688617767</v>
      </c>
      <c r="D12" s="8">
        <f t="shared" si="1"/>
        <v>82.962231032662743</v>
      </c>
      <c r="E12" s="8">
        <f t="shared" si="1"/>
        <v>14389.206385250835</v>
      </c>
      <c r="F12" s="7">
        <f t="shared" si="1"/>
        <v>27372.795541862553</v>
      </c>
      <c r="G12" s="8">
        <f t="shared" si="1"/>
        <v>4116.1118339491104</v>
      </c>
      <c r="H12" s="8">
        <f t="shared" si="1"/>
        <v>14269.503737617992</v>
      </c>
      <c r="I12" s="8">
        <f t="shared" si="1"/>
        <v>2331.2386920178233</v>
      </c>
      <c r="J12" s="8">
        <f t="shared" si="1"/>
        <v>794.06706845548626</v>
      </c>
      <c r="K12" s="7">
        <f t="shared" si="1"/>
        <v>0</v>
      </c>
      <c r="L12" s="7">
        <f t="shared" si="1"/>
        <v>0</v>
      </c>
      <c r="M12" s="7">
        <f t="shared" si="1"/>
        <v>1383.0989087873918</v>
      </c>
      <c r="O12" s="7" t="s">
        <v>40</v>
      </c>
      <c r="P12" s="8">
        <f>(B12*1000)/SUM('Population Figures'!$H14:$J14)</f>
        <v>710.3689446172117</v>
      </c>
      <c r="Q12" s="7">
        <f>(C12*1000)/SUM('Population Figures'!$H14:$J14)</f>
        <v>5.1512496392829812</v>
      </c>
      <c r="R12" s="8">
        <f>(D12*1000)/SUM('Population Figures'!$H14)</f>
        <v>4.0045484883266278</v>
      </c>
      <c r="S12" s="8">
        <f>(E12*1000)/SUM('Population Figures'!$H14)</f>
        <v>694.56033138247983</v>
      </c>
      <c r="T12" s="7">
        <f>(F12*1000)/SUM('Population Figures'!$J14)</f>
        <v>1688.7405479586992</v>
      </c>
      <c r="U12" s="8">
        <f>(G12*1000)/SUM('Population Figures'!$I14)</f>
        <v>75.01023861845519</v>
      </c>
      <c r="V12" s="8">
        <f>(H12*1000)/SUM('Population Figures'!$I14)</f>
        <v>260.04125337351007</v>
      </c>
      <c r="W12" s="8">
        <f>(I12*1000)/SUM('Population Figures'!$I14)</f>
        <v>42.483483836021129</v>
      </c>
      <c r="X12" s="8">
        <f>(J12*1000)/SUM('Population Figures'!$I14)</f>
        <v>14.470734199356457</v>
      </c>
      <c r="Y12" s="7">
        <f>(K12*1000)/SUM('Population Figures'!$I14)</f>
        <v>0</v>
      </c>
      <c r="Z12" s="7">
        <f>(L12*1000)/SUM('Population Figures'!$I14)</f>
        <v>0</v>
      </c>
      <c r="AA12" s="7">
        <f>(M12*1000)/SUM('Population Figures'!$I14)</f>
        <v>25.204995239774608</v>
      </c>
    </row>
    <row r="13" spans="1:27">
      <c r="A13" s="7" t="s">
        <v>41</v>
      </c>
      <c r="B13" s="8">
        <f t="shared" si="1"/>
        <v>43748.35477298114</v>
      </c>
      <c r="C13" s="7">
        <f t="shared" si="1"/>
        <v>1871.3908971510639</v>
      </c>
      <c r="D13" s="8">
        <f t="shared" si="1"/>
        <v>0</v>
      </c>
      <c r="E13" s="8">
        <f t="shared" si="1"/>
        <v>5230.1760792448667</v>
      </c>
      <c r="F13" s="7">
        <f t="shared" si="1"/>
        <v>18021.766929752423</v>
      </c>
      <c r="G13" s="8">
        <f t="shared" si="1"/>
        <v>6774.4587511814325</v>
      </c>
      <c r="H13" s="8">
        <f t="shared" si="1"/>
        <v>8341.2597429697198</v>
      </c>
      <c r="I13" s="8">
        <f t="shared" si="1"/>
        <v>846.21475653315997</v>
      </c>
      <c r="J13" s="8">
        <f t="shared" si="1"/>
        <v>447.99604757637883</v>
      </c>
      <c r="K13" s="7">
        <f t="shared" si="1"/>
        <v>0</v>
      </c>
      <c r="L13" s="7">
        <f t="shared" si="1"/>
        <v>8.296223103266275</v>
      </c>
      <c r="M13" s="7">
        <f t="shared" si="1"/>
        <v>2206.7953454688291</v>
      </c>
      <c r="O13" s="7" t="s">
        <v>41</v>
      </c>
      <c r="P13" s="8">
        <f>(B13*1000)/SUM('Population Figures'!$H15:$J15)</f>
        <v>488.26288809130733</v>
      </c>
      <c r="Q13" s="7">
        <f>(C13*1000)/SUM('Population Figures'!$H15:$J15)</f>
        <v>20.886059119989554</v>
      </c>
      <c r="R13" s="8">
        <f>(D13*1000)/SUM('Population Figures'!$H15)</f>
        <v>0</v>
      </c>
      <c r="S13" s="8">
        <f>(E13*1000)/SUM('Population Figures'!$H15)</f>
        <v>248.67706729007546</v>
      </c>
      <c r="T13" s="7">
        <f>(F13*1000)/SUM('Population Figures'!$J15)</f>
        <v>1202.3328393990544</v>
      </c>
      <c r="U13" s="8">
        <f>(G13*1000)/SUM('Population Figures'!$I15)</f>
        <v>126.43869335339278</v>
      </c>
      <c r="V13" s="8">
        <f>(H13*1000)/SUM('Population Figures'!$I15)</f>
        <v>155.68151221504172</v>
      </c>
      <c r="W13" s="8">
        <f>(I13*1000)/SUM('Population Figures'!$I15)</f>
        <v>15.793776601525972</v>
      </c>
      <c r="X13" s="8">
        <f>(J13*1000)/SUM('Population Figures'!$I15)</f>
        <v>8.3614111419843375</v>
      </c>
      <c r="Y13" s="7">
        <f>(K13*1000)/SUM('Population Figures'!$I15)</f>
        <v>0</v>
      </c>
      <c r="Z13" s="7">
        <f>(L13*1000)/SUM('Population Figures'!$I15)</f>
        <v>0.15484094707378404</v>
      </c>
      <c r="AA13" s="7">
        <f>(M13*1000)/SUM('Population Figures'!$I15)</f>
        <v>41.187691921626552</v>
      </c>
    </row>
    <row r="14" spans="1:27">
      <c r="A14" s="7" t="s">
        <v>140</v>
      </c>
      <c r="B14" s="8">
        <f t="shared" si="1"/>
        <v>312497.39115491789</v>
      </c>
      <c r="C14" s="7">
        <f t="shared" si="1"/>
        <v>2682.050411813083</v>
      </c>
      <c r="D14" s="8">
        <f t="shared" si="1"/>
        <v>221.62767433011334</v>
      </c>
      <c r="E14" s="8">
        <f t="shared" si="1"/>
        <v>68411.84088426274</v>
      </c>
      <c r="F14" s="7">
        <f t="shared" si="1"/>
        <v>133402.08232579267</v>
      </c>
      <c r="G14" s="8">
        <f t="shared" si="1"/>
        <v>22142.619462617688</v>
      </c>
      <c r="H14" s="8">
        <f t="shared" si="1"/>
        <v>47932.021566485419</v>
      </c>
      <c r="I14" s="8">
        <f t="shared" si="1"/>
        <v>13827.433563686804</v>
      </c>
      <c r="J14" s="8">
        <f t="shared" si="1"/>
        <v>4314.0360136984627</v>
      </c>
      <c r="K14" s="7">
        <f t="shared" si="1"/>
        <v>2217.4619180301715</v>
      </c>
      <c r="L14" s="7">
        <f t="shared" si="1"/>
        <v>669.62372190649216</v>
      </c>
      <c r="M14" s="7">
        <f t="shared" si="1"/>
        <v>16676.593612294251</v>
      </c>
      <c r="O14" s="7" t="s">
        <v>140</v>
      </c>
      <c r="P14" s="8">
        <f>(B14*1000)/SUM('Population Figures'!$H16:$J16)</f>
        <v>682.56206704435681</v>
      </c>
      <c r="Q14" s="7">
        <f>(C14*1000)/SUM('Population Figures'!$H16:$J16)</f>
        <v>5.8581796994803383</v>
      </c>
      <c r="R14" s="8">
        <f>(D14*1000)/SUM('Population Figures'!$H16)</f>
        <v>2.7511566117593951</v>
      </c>
      <c r="S14" s="8">
        <f>(E14*1000)/SUM('Population Figures'!$H16)</f>
        <v>849.22466898709922</v>
      </c>
      <c r="T14" s="7">
        <f>(F14*1000)/SUM('Population Figures'!$J16)</f>
        <v>1943.3053494805697</v>
      </c>
      <c r="U14" s="8">
        <f>(G14*1000)/SUM('Population Figures'!$I16)</f>
        <v>71.746033090701303</v>
      </c>
      <c r="V14" s="8">
        <f>(H14*1000)/SUM('Population Figures'!$I16)</f>
        <v>155.30829183146349</v>
      </c>
      <c r="W14" s="8">
        <f>(I14*1000)/SUM('Population Figures'!$I16)</f>
        <v>44.803348930536423</v>
      </c>
      <c r="X14" s="8">
        <f>(J14*1000)/SUM('Population Figures'!$I16)</f>
        <v>13.978245487884852</v>
      </c>
      <c r="Y14" s="7">
        <f>(K14*1000)/SUM('Population Figures'!$I16)</f>
        <v>7.1849717878660888</v>
      </c>
      <c r="Z14" s="7">
        <f>(L14*1000)/SUM('Population Figures'!$I16)</f>
        <v>2.1697001924876211</v>
      </c>
      <c r="AA14" s="7">
        <f>(M14*1000)/SUM('Population Figures'!$I16)</f>
        <v>54.035135236271365</v>
      </c>
    </row>
    <row r="15" spans="1:27">
      <c r="A15" s="7" t="s">
        <v>42</v>
      </c>
      <c r="B15" s="8">
        <f t="shared" si="1"/>
        <v>25813.105598448496</v>
      </c>
      <c r="C15" s="7">
        <f t="shared" si="1"/>
        <v>503.69925984116668</v>
      </c>
      <c r="D15" s="8">
        <f t="shared" si="1"/>
        <v>59.25873645190196</v>
      </c>
      <c r="E15" s="8">
        <f t="shared" si="1"/>
        <v>2711.6797800390336</v>
      </c>
      <c r="F15" s="7">
        <f t="shared" si="1"/>
        <v>16822.370103965928</v>
      </c>
      <c r="G15" s="8">
        <f t="shared" si="1"/>
        <v>1360.5805889356691</v>
      </c>
      <c r="H15" s="8">
        <f t="shared" si="1"/>
        <v>2929.751930182033</v>
      </c>
      <c r="I15" s="8">
        <f t="shared" si="1"/>
        <v>1000.2874713081051</v>
      </c>
      <c r="J15" s="8">
        <f t="shared" si="1"/>
        <v>145.77649167167883</v>
      </c>
      <c r="K15" s="7">
        <f t="shared" si="1"/>
        <v>0</v>
      </c>
      <c r="L15" s="7">
        <f t="shared" si="1"/>
        <v>0</v>
      </c>
      <c r="M15" s="7">
        <f t="shared" si="1"/>
        <v>279.70123605297726</v>
      </c>
      <c r="O15" s="7" t="s">
        <v>42</v>
      </c>
      <c r="P15" s="8">
        <f>(B15*1000)/SUM('Population Figures'!$H17:$J17)</f>
        <v>978.88151681640102</v>
      </c>
      <c r="Q15" s="7">
        <f>(C15*1000)/SUM('Population Figures'!$H17:$J17)</f>
        <v>19.101223353855392</v>
      </c>
      <c r="R15" s="8">
        <f>(D15*1000)/SUM('Population Figures'!$H17)</f>
        <v>10.849274341248986</v>
      </c>
      <c r="S15" s="8">
        <f>(E15*1000)/SUM('Population Figures'!$H17)</f>
        <v>496.46279385555363</v>
      </c>
      <c r="T15" s="7">
        <f>(F15*1000)/SUM('Population Figures'!$J17)</f>
        <v>3144.368243731949</v>
      </c>
      <c r="U15" s="8">
        <f>(G15*1000)/SUM('Population Figures'!$I17)</f>
        <v>87.452152521896707</v>
      </c>
      <c r="V15" s="8">
        <f>(H15*1000)/SUM('Population Figures'!$I17)</f>
        <v>188.31160368826542</v>
      </c>
      <c r="W15" s="8">
        <f>(I15*1000)/SUM('Population Figures'!$I17)</f>
        <v>64.294091226899667</v>
      </c>
      <c r="X15" s="8">
        <f>(J15*1000)/SUM('Population Figures'!$I17)</f>
        <v>9.3698734844889326</v>
      </c>
      <c r="Y15" s="7">
        <f>(K15*1000)/SUM('Population Figures'!$I17)</f>
        <v>0</v>
      </c>
      <c r="Z15" s="7">
        <f>(L15*1000)/SUM('Population Figures'!$I17)</f>
        <v>0</v>
      </c>
      <c r="AA15" s="7">
        <f>(M15*1000)/SUM('Population Figures'!$I17)</f>
        <v>17.977968636905597</v>
      </c>
    </row>
    <row r="16" spans="1:27">
      <c r="A16" s="7" t="s">
        <v>43</v>
      </c>
      <c r="B16" s="8">
        <f t="shared" si="1"/>
        <v>89241.286747106278</v>
      </c>
      <c r="C16" s="7">
        <f t="shared" si="1"/>
        <v>274.96053713682511</v>
      </c>
      <c r="D16" s="8">
        <f t="shared" si="1"/>
        <v>72.295658471320394</v>
      </c>
      <c r="E16" s="8">
        <f t="shared" si="1"/>
        <v>21624.698106028063</v>
      </c>
      <c r="F16" s="7">
        <f t="shared" si="1"/>
        <v>41123.192748161884</v>
      </c>
      <c r="G16" s="8">
        <f t="shared" si="1"/>
        <v>6668.9782002970469</v>
      </c>
      <c r="H16" s="8">
        <f t="shared" si="1"/>
        <v>12694.406522726438</v>
      </c>
      <c r="I16" s="8">
        <f t="shared" si="1"/>
        <v>3851.8178693736277</v>
      </c>
      <c r="J16" s="8">
        <f t="shared" si="1"/>
        <v>405.32975733100943</v>
      </c>
      <c r="K16" s="7">
        <f t="shared" si="1"/>
        <v>1.1851747290380392</v>
      </c>
      <c r="L16" s="7">
        <f t="shared" si="1"/>
        <v>0</v>
      </c>
      <c r="M16" s="7">
        <f t="shared" si="1"/>
        <v>2524.4221728510233</v>
      </c>
      <c r="O16" s="7" t="s">
        <v>43</v>
      </c>
      <c r="P16" s="8">
        <f>(B16*1000)/SUM('Population Figures'!$H18:$J18)</f>
        <v>598.33246226688755</v>
      </c>
      <c r="Q16" s="7">
        <f>(C16*1000)/SUM('Population Figures'!$H18:$J18)</f>
        <v>1.8435168430226287</v>
      </c>
      <c r="R16" s="8">
        <f>(D16*1000)/SUM('Population Figures'!$H18)</f>
        <v>2.2500983028733392</v>
      </c>
      <c r="S16" s="8">
        <f>(E16*1000)/SUM('Population Figures'!$H18)</f>
        <v>673.03760056109741</v>
      </c>
      <c r="T16" s="7">
        <f>(F16*1000)/SUM('Population Figures'!$J18)</f>
        <v>1757.8521308096897</v>
      </c>
      <c r="U16" s="8">
        <f>(G16*1000)/SUM('Population Figures'!$I18)</f>
        <v>71.229980991359739</v>
      </c>
      <c r="V16" s="8">
        <f>(H16*1000)/SUM('Population Figures'!$I18)</f>
        <v>135.58633843939117</v>
      </c>
      <c r="W16" s="8">
        <f>(I16*1000)/SUM('Population Figures'!$I18)</f>
        <v>41.140472404819469</v>
      </c>
      <c r="X16" s="8">
        <f>(J16*1000)/SUM('Population Figures'!$I18)</f>
        <v>4.3292435576763868</v>
      </c>
      <c r="Y16" s="7">
        <f>(K16*1000)/SUM('Population Figures'!$I18)</f>
        <v>1.2658606893790605E-2</v>
      </c>
      <c r="Z16" s="7">
        <f>(L16*1000)/SUM('Population Figures'!$I18)</f>
        <v>0</v>
      </c>
      <c r="AA16" s="7">
        <f>(M16*1000)/SUM('Population Figures'!$I18)</f>
        <v>26.962832683773986</v>
      </c>
    </row>
    <row r="17" spans="1:27">
      <c r="A17" s="7" t="s">
        <v>44</v>
      </c>
      <c r="B17" s="8">
        <f t="shared" si="1"/>
        <v>201597.03623464145</v>
      </c>
      <c r="C17" s="7">
        <f t="shared" si="1"/>
        <v>875.84412475911097</v>
      </c>
      <c r="D17" s="8">
        <f t="shared" si="1"/>
        <v>207.40557758165687</v>
      </c>
      <c r="E17" s="8">
        <f t="shared" si="1"/>
        <v>36691.824436288654</v>
      </c>
      <c r="F17" s="7">
        <f t="shared" si="1"/>
        <v>96223.151075869362</v>
      </c>
      <c r="G17" s="8">
        <f t="shared" si="1"/>
        <v>18864.426162098469</v>
      </c>
      <c r="H17" s="8">
        <f t="shared" si="1"/>
        <v>32898.080128637892</v>
      </c>
      <c r="I17" s="8">
        <f t="shared" si="1"/>
        <v>7128.8259951638056</v>
      </c>
      <c r="J17" s="8">
        <f t="shared" si="1"/>
        <v>1310.8032503160714</v>
      </c>
      <c r="K17" s="7">
        <f t="shared" si="1"/>
        <v>106.66572561342353</v>
      </c>
      <c r="L17" s="7">
        <f t="shared" si="1"/>
        <v>0</v>
      </c>
      <c r="M17" s="7">
        <f t="shared" si="1"/>
        <v>7290.0097583129791</v>
      </c>
      <c r="O17" s="7" t="s">
        <v>44</v>
      </c>
      <c r="P17" s="8">
        <f>(B17*1000)/SUM('Population Figures'!$H19:$J19)</f>
        <v>565.10914457207332</v>
      </c>
      <c r="Q17" s="7">
        <f>(C17*1000)/SUM('Population Figures'!$H19:$J19)</f>
        <v>2.4551329392810195</v>
      </c>
      <c r="R17" s="8">
        <f>(D17*1000)/SUM('Population Figures'!$H19)</f>
        <v>2.7432423032782696</v>
      </c>
      <c r="S17" s="8">
        <f>(E17*1000)/SUM('Population Figures'!$H19)</f>
        <v>485.30307695538255</v>
      </c>
      <c r="T17" s="7">
        <f>(F17*1000)/SUM('Population Figures'!$J19)</f>
        <v>1624.6226628599543</v>
      </c>
      <c r="U17" s="8">
        <f>(G17*1000)/SUM('Population Figures'!$I19)</f>
        <v>85.010888223384981</v>
      </c>
      <c r="V17" s="8">
        <f>(H17*1000)/SUM('Population Figures'!$I19)</f>
        <v>148.25232363540368</v>
      </c>
      <c r="W17" s="8">
        <f>(I17*1000)/SUM('Population Figures'!$I19)</f>
        <v>32.125431467214973</v>
      </c>
      <c r="X17" s="8">
        <f>(J17*1000)/SUM('Population Figures'!$I19)</f>
        <v>5.9070203163324617</v>
      </c>
      <c r="Y17" s="7">
        <f>(K17*1000)/SUM('Population Figures'!$I19)</f>
        <v>0.48067977257678268</v>
      </c>
      <c r="Z17" s="7">
        <f>(L17*1000)/SUM('Population Figures'!$I19)</f>
        <v>0</v>
      </c>
      <c r="AA17" s="7">
        <f>(M17*1000)/SUM('Population Figures'!$I19)</f>
        <v>32.851792012442111</v>
      </c>
    </row>
    <row r="18" spans="1:27">
      <c r="A18" s="7" t="s">
        <v>45</v>
      </c>
      <c r="B18" s="8">
        <f t="shared" si="1"/>
        <v>519610.23057850235</v>
      </c>
      <c r="C18" s="7">
        <f t="shared" si="1"/>
        <v>2386.9419042826112</v>
      </c>
      <c r="D18" s="8">
        <f t="shared" si="1"/>
        <v>363.84864181467805</v>
      </c>
      <c r="E18" s="8">
        <f t="shared" si="1"/>
        <v>140412.39084805266</v>
      </c>
      <c r="F18" s="7">
        <f t="shared" si="1"/>
        <v>167571.85493868837</v>
      </c>
      <c r="G18" s="8">
        <f t="shared" si="1"/>
        <v>40397.865813990604</v>
      </c>
      <c r="H18" s="8">
        <f t="shared" si="1"/>
        <v>79297.670770477125</v>
      </c>
      <c r="I18" s="8">
        <f t="shared" si="1"/>
        <v>54526.33375885307</v>
      </c>
      <c r="J18" s="8">
        <f t="shared" si="1"/>
        <v>14059.727810578259</v>
      </c>
      <c r="K18" s="7">
        <f t="shared" si="1"/>
        <v>2.3703494580760784</v>
      </c>
      <c r="L18" s="7">
        <f t="shared" si="1"/>
        <v>2205.6101707397911</v>
      </c>
      <c r="M18" s="7">
        <f t="shared" si="1"/>
        <v>18385.615571567101</v>
      </c>
      <c r="O18" s="7" t="s">
        <v>45</v>
      </c>
      <c r="P18" s="8">
        <f>(B18*1000)/SUM('Population Figures'!$H20:$J20)</f>
        <v>897.75260557110926</v>
      </c>
      <c r="Q18" s="7">
        <f>(C18*1000)/SUM('Population Figures'!$H20:$J20)</f>
        <v>4.1240206366430163</v>
      </c>
      <c r="R18" s="8">
        <f>(D18*1000)/SUM('Population Figures'!$H20)</f>
        <v>3.2268099985338337</v>
      </c>
      <c r="S18" s="8">
        <f>(E18*1000)/SUM('Population Figures'!$H20)</f>
        <v>1245.2543575449426</v>
      </c>
      <c r="T18" s="7">
        <f>(F18*1000)/SUM('Population Figures'!$J20)</f>
        <v>1954.2135178099845</v>
      </c>
      <c r="U18" s="8">
        <f>(G18*1000)/SUM('Population Figures'!$I20)</f>
        <v>106.23105901129054</v>
      </c>
      <c r="V18" s="8">
        <f>(H18*1000)/SUM('Population Figures'!$I20)</f>
        <v>208.52278637350901</v>
      </c>
      <c r="W18" s="8">
        <f>(I18*1000)/SUM('Population Figures'!$I20)</f>
        <v>143.38356897061681</v>
      </c>
      <c r="X18" s="8">
        <f>(J18*1000)/SUM('Population Figures'!$I20)</f>
        <v>36.971749488087184</v>
      </c>
      <c r="Y18" s="7">
        <f>(K18*1000)/SUM('Population Figures'!$I20)</f>
        <v>6.2331196978988763E-3</v>
      </c>
      <c r="Z18" s="7">
        <f>(L18*1000)/SUM('Population Figures'!$I20)</f>
        <v>5.7999178788949042</v>
      </c>
      <c r="AA18" s="7">
        <f>(M18*1000)/SUM('Population Figures'!$I20)</f>
        <v>48.347192936752627</v>
      </c>
    </row>
    <row r="19" spans="1:27">
      <c r="A19" s="7" t="s">
        <v>46</v>
      </c>
      <c r="B19" s="8">
        <f t="shared" si="1"/>
        <v>137432.86157925104</v>
      </c>
      <c r="C19" s="7">
        <f t="shared" si="1"/>
        <v>490.66233782174822</v>
      </c>
      <c r="D19" s="8">
        <f t="shared" si="1"/>
        <v>142.22096748456471</v>
      </c>
      <c r="E19" s="8">
        <f t="shared" si="1"/>
        <v>23820.82687893555</v>
      </c>
      <c r="F19" s="7">
        <f t="shared" si="1"/>
        <v>77425.094698597022</v>
      </c>
      <c r="G19" s="8">
        <f t="shared" si="1"/>
        <v>6501.8685635026832</v>
      </c>
      <c r="H19" s="8">
        <f t="shared" si="1"/>
        <v>17825.027924732109</v>
      </c>
      <c r="I19" s="8">
        <f t="shared" si="1"/>
        <v>7781.8572708637657</v>
      </c>
      <c r="J19" s="8">
        <f t="shared" si="1"/>
        <v>907.84384244313799</v>
      </c>
      <c r="K19" s="7">
        <f t="shared" si="1"/>
        <v>0</v>
      </c>
      <c r="L19" s="7">
        <f t="shared" si="1"/>
        <v>0</v>
      </c>
      <c r="M19" s="7">
        <f t="shared" si="1"/>
        <v>2537.4590948704422</v>
      </c>
      <c r="O19" s="7" t="s">
        <v>46</v>
      </c>
      <c r="P19" s="8">
        <f>(B19*1000)/SUM('Population Figures'!$H21:$J21)</f>
        <v>643.442397018826</v>
      </c>
      <c r="Q19" s="7">
        <f>(C19*1000)/SUM('Population Figures'!$H21:$J21)</f>
        <v>2.2972158706950148</v>
      </c>
      <c r="R19" s="8">
        <f>(D19*1000)/SUM('Population Figures'!$H21)</f>
        <v>3.1670816257196082</v>
      </c>
      <c r="S19" s="8">
        <f>(E19*1000)/SUM('Population Figures'!$H21)</f>
        <v>530.45977996115323</v>
      </c>
      <c r="T19" s="7">
        <f>(F19*1000)/SUM('Population Figures'!$J21)</f>
        <v>2065.7709364620337</v>
      </c>
      <c r="U19" s="8">
        <f>(G19*1000)/SUM('Population Figures'!$I21)</f>
        <v>49.55541419089878</v>
      </c>
      <c r="V19" s="8">
        <f>(H19*1000)/SUM('Population Figures'!$I21)</f>
        <v>135.85735133633202</v>
      </c>
      <c r="W19" s="8">
        <f>(I19*1000)/SUM('Population Figures'!$I21)</f>
        <v>59.311128249624751</v>
      </c>
      <c r="X19" s="8">
        <f>(J19*1000)/SUM('Population Figures'!$I21)</f>
        <v>6.9193305268371237</v>
      </c>
      <c r="Y19" s="7">
        <f>(K19*1000)/SUM('Population Figures'!$I21)</f>
        <v>0</v>
      </c>
      <c r="Z19" s="7">
        <f>(L19*1000)/SUM('Population Figures'!$I21)</f>
        <v>0</v>
      </c>
      <c r="AA19" s="7">
        <f>(M19*1000)/SUM('Population Figures'!$I21)</f>
        <v>19.339799814566948</v>
      </c>
    </row>
    <row r="20" spans="1:27">
      <c r="A20" s="7" t="s">
        <v>47</v>
      </c>
      <c r="B20" s="8">
        <f t="shared" si="1"/>
        <v>61136.053222698218</v>
      </c>
      <c r="C20" s="7">
        <f t="shared" si="1"/>
        <v>1161.4712344572783</v>
      </c>
      <c r="D20" s="8">
        <f t="shared" si="1"/>
        <v>34.370067142103139</v>
      </c>
      <c r="E20" s="8">
        <f t="shared" si="1"/>
        <v>14711.573911549182</v>
      </c>
      <c r="F20" s="7">
        <f t="shared" si="1"/>
        <v>27618.126710773427</v>
      </c>
      <c r="G20" s="8">
        <f t="shared" si="1"/>
        <v>4305.7397905951966</v>
      </c>
      <c r="H20" s="8">
        <f t="shared" si="1"/>
        <v>7333.8612232873866</v>
      </c>
      <c r="I20" s="8">
        <f t="shared" si="1"/>
        <v>2594.347481864268</v>
      </c>
      <c r="J20" s="8">
        <f t="shared" si="1"/>
        <v>1079.6941781536536</v>
      </c>
      <c r="K20" s="7">
        <f t="shared" si="1"/>
        <v>0</v>
      </c>
      <c r="L20" s="7">
        <f t="shared" si="1"/>
        <v>0</v>
      </c>
      <c r="M20" s="7">
        <f t="shared" si="1"/>
        <v>2296.8686248757199</v>
      </c>
      <c r="O20" s="7" t="s">
        <v>47</v>
      </c>
      <c r="P20" s="8">
        <f>(B20*1000)/SUM('Population Figures'!$H22:$J22)</f>
        <v>744.38150764273985</v>
      </c>
      <c r="Q20" s="7">
        <f>(C20*1000)/SUM('Population Figures'!$H22:$J22)</f>
        <v>14.141863319825623</v>
      </c>
      <c r="R20" s="8">
        <f>(D20*1000)/SUM('Population Figures'!$H22)</f>
        <v>1.987053659137604</v>
      </c>
      <c r="S20" s="8">
        <f>(E20*1000)/SUM('Population Figures'!$H22)</f>
        <v>850.52748520258888</v>
      </c>
      <c r="T20" s="7">
        <f>(F20*1000)/SUM('Population Figures'!$J22)</f>
        <v>1967.6636300066561</v>
      </c>
      <c r="U20" s="8">
        <f>(G20*1000)/SUM('Population Figures'!$I22)</f>
        <v>84.763663023312319</v>
      </c>
      <c r="V20" s="8">
        <f>(H20*1000)/SUM('Population Figures'!$I22)</f>
        <v>144.37587304934124</v>
      </c>
      <c r="W20" s="8">
        <f>(I20*1000)/SUM('Population Figures'!$I22)</f>
        <v>51.07284843325921</v>
      </c>
      <c r="X20" s="8">
        <f>(J20*1000)/SUM('Population Figures'!$I22)</f>
        <v>21.25507762571911</v>
      </c>
      <c r="Y20" s="7">
        <f>(K20*1000)/SUM('Population Figures'!$I22)</f>
        <v>0</v>
      </c>
      <c r="Z20" s="7">
        <f>(L20*1000)/SUM('Population Figures'!$I22)</f>
        <v>0</v>
      </c>
      <c r="AA20" s="7">
        <f>(M20*1000)/SUM('Population Figures'!$I22)</f>
        <v>45.216619581387086</v>
      </c>
    </row>
    <row r="21" spans="1:27">
      <c r="A21" s="7" t="s">
        <v>48</v>
      </c>
      <c r="B21" s="8">
        <f t="shared" si="1"/>
        <v>50830.958953712463</v>
      </c>
      <c r="C21" s="7">
        <f t="shared" si="1"/>
        <v>809.4743399329808</v>
      </c>
      <c r="D21" s="8">
        <f t="shared" si="1"/>
        <v>56.888386993825883</v>
      </c>
      <c r="E21" s="8">
        <f t="shared" si="1"/>
        <v>12253.521523524287</v>
      </c>
      <c r="F21" s="7">
        <f t="shared" si="1"/>
        <v>21098.480526335174</v>
      </c>
      <c r="G21" s="8">
        <f t="shared" si="1"/>
        <v>3100.4170911635106</v>
      </c>
      <c r="H21" s="8">
        <f t="shared" si="1"/>
        <v>10123.762535442931</v>
      </c>
      <c r="I21" s="8">
        <f t="shared" si="1"/>
        <v>1757.6141231634122</v>
      </c>
      <c r="J21" s="8">
        <f t="shared" si="1"/>
        <v>738.36385619069847</v>
      </c>
      <c r="K21" s="7">
        <f t="shared" si="1"/>
        <v>0</v>
      </c>
      <c r="L21" s="7">
        <f t="shared" si="1"/>
        <v>0</v>
      </c>
      <c r="M21" s="7">
        <f t="shared" si="1"/>
        <v>892.43657096564357</v>
      </c>
      <c r="O21" s="7" t="s">
        <v>48</v>
      </c>
      <c r="P21" s="8">
        <f>(B21*1000)/SUM('Population Figures'!$H23:$J23)</f>
        <v>641.88608351701555</v>
      </c>
      <c r="Q21" s="7">
        <f>(C21*1000)/SUM('Population Figures'!$H23:$J23)</f>
        <v>10.221926252468505</v>
      </c>
      <c r="R21" s="8">
        <f>(D21*1000)/SUM('Population Figures'!$H23)</f>
        <v>3.1845268133579197</v>
      </c>
      <c r="S21" s="8">
        <f>(E21*1000)/SUM('Population Figures'!$H23)</f>
        <v>685.93380673557351</v>
      </c>
      <c r="T21" s="7">
        <f>(F21*1000)/SUM('Population Figures'!$J23)</f>
        <v>1681.957950122383</v>
      </c>
      <c r="U21" s="8">
        <f>(G21*1000)/SUM('Population Figures'!$I23)</f>
        <v>63.556580114868403</v>
      </c>
      <c r="V21" s="8">
        <f>(H21*1000)/SUM('Population Figures'!$I23)</f>
        <v>207.53069852492581</v>
      </c>
      <c r="W21" s="8">
        <f>(I21*1000)/SUM('Population Figures'!$I23)</f>
        <v>36.029972595699483</v>
      </c>
      <c r="X21" s="8">
        <f>(J21*1000)/SUM('Population Figures'!$I23)</f>
        <v>15.135989836224395</v>
      </c>
      <c r="Y21" s="7">
        <f>(K21*1000)/SUM('Population Figures'!$I23)</f>
        <v>0</v>
      </c>
      <c r="Z21" s="7">
        <f>(L21*1000)/SUM('Population Figures'!$I23)</f>
        <v>0</v>
      </c>
      <c r="AA21" s="7">
        <f>(M21*1000)/SUM('Population Figures'!$I23)</f>
        <v>18.294382578935746</v>
      </c>
    </row>
    <row r="22" spans="1:27">
      <c r="A22" s="7" t="s">
        <v>49</v>
      </c>
      <c r="B22" s="8">
        <f t="shared" si="1"/>
        <v>47498.247615657499</v>
      </c>
      <c r="C22" s="7">
        <f t="shared" si="1"/>
        <v>105.48055088438549</v>
      </c>
      <c r="D22" s="8">
        <f t="shared" si="1"/>
        <v>67.554959555168239</v>
      </c>
      <c r="E22" s="8">
        <f t="shared" si="1"/>
        <v>10613.239698535641</v>
      </c>
      <c r="F22" s="7">
        <f t="shared" si="1"/>
        <v>21354.47826780739</v>
      </c>
      <c r="G22" s="8">
        <f t="shared" si="1"/>
        <v>3582.7832058819927</v>
      </c>
      <c r="H22" s="8">
        <f t="shared" si="1"/>
        <v>8577.1095140482903</v>
      </c>
      <c r="I22" s="8">
        <f t="shared" si="1"/>
        <v>2349.0163129533939</v>
      </c>
      <c r="J22" s="8">
        <f t="shared" si="1"/>
        <v>271.40501294971097</v>
      </c>
      <c r="K22" s="7">
        <f t="shared" si="1"/>
        <v>0</v>
      </c>
      <c r="L22" s="7">
        <f t="shared" si="1"/>
        <v>0</v>
      </c>
      <c r="M22" s="7">
        <f t="shared" si="1"/>
        <v>577.18009304152508</v>
      </c>
      <c r="O22" s="7" t="s">
        <v>49</v>
      </c>
      <c r="P22" s="8">
        <f>(B22*1000)/SUM('Population Figures'!$H24:$J24)</f>
        <v>548.54195190735072</v>
      </c>
      <c r="Q22" s="7">
        <f>(C22*1000)/SUM('Population Figures'!$H24:$J24)</f>
        <v>1.2181608832935154</v>
      </c>
      <c r="R22" s="8">
        <f>(D22*1000)/SUM('Population Figures'!$H24)</f>
        <v>3.6355053037976668</v>
      </c>
      <c r="S22" s="8">
        <f>(E22*1000)/SUM('Population Figures'!$H24)</f>
        <v>571.15701746505442</v>
      </c>
      <c r="T22" s="7">
        <f>(F22*1000)/SUM('Population Figures'!$J24)</f>
        <v>1410.0949727817876</v>
      </c>
      <c r="U22" s="8">
        <f>(G22*1000)/SUM('Population Figures'!$I24)</f>
        <v>67.773592726278622</v>
      </c>
      <c r="V22" s="8">
        <f>(H22*1000)/SUM('Population Figures'!$I24)</f>
        <v>162.2485909891096</v>
      </c>
      <c r="W22" s="8">
        <f>(I22*1000)/SUM('Population Figures'!$I24)</f>
        <v>44.435084612465836</v>
      </c>
      <c r="X22" s="8">
        <f>(J22*1000)/SUM('Population Figures'!$I24)</f>
        <v>5.1340233987157795</v>
      </c>
      <c r="Y22" s="7">
        <f>(K22*1000)/SUM('Population Figures'!$I24)</f>
        <v>0</v>
      </c>
      <c r="Z22" s="7">
        <f>(L22*1000)/SUM('Population Figures'!$I24)</f>
        <v>0</v>
      </c>
      <c r="AA22" s="7">
        <f>(M22*1000)/SUM('Population Figures'!$I24)</f>
        <v>10.918206965827881</v>
      </c>
    </row>
    <row r="23" spans="1:27">
      <c r="A23" s="7" t="s">
        <v>50</v>
      </c>
      <c r="B23" s="8">
        <f t="shared" si="1"/>
        <v>80907.138052510782</v>
      </c>
      <c r="C23" s="7">
        <f t="shared" si="1"/>
        <v>1281.1738820901203</v>
      </c>
      <c r="D23" s="8">
        <f t="shared" si="1"/>
        <v>263.10878984644472</v>
      </c>
      <c r="E23" s="8">
        <f t="shared" si="1"/>
        <v>19460.569050804603</v>
      </c>
      <c r="F23" s="7">
        <f t="shared" si="1"/>
        <v>40799.640047134497</v>
      </c>
      <c r="G23" s="8">
        <f t="shared" si="1"/>
        <v>2928.566755452995</v>
      </c>
      <c r="H23" s="8">
        <f t="shared" si="1"/>
        <v>9493.2495795946943</v>
      </c>
      <c r="I23" s="8">
        <f t="shared" si="1"/>
        <v>2509.014901373529</v>
      </c>
      <c r="J23" s="8">
        <f t="shared" si="1"/>
        <v>1645.0225239047984</v>
      </c>
      <c r="K23" s="7">
        <f t="shared" si="1"/>
        <v>0</v>
      </c>
      <c r="L23" s="7">
        <f t="shared" si="1"/>
        <v>0</v>
      </c>
      <c r="M23" s="7">
        <f t="shared" si="1"/>
        <v>2526.7925223090997</v>
      </c>
      <c r="O23" s="7" t="s">
        <v>50</v>
      </c>
      <c r="P23" s="8">
        <f>(B23*1000)/SUM('Population Figures'!$H25:$J25)</f>
        <v>595.64998934337621</v>
      </c>
      <c r="Q23" s="7">
        <f>(C23*1000)/SUM('Population Figures'!$H25:$J25)</f>
        <v>9.4321864248702081</v>
      </c>
      <c r="R23" s="8">
        <f>(D23*1000)/SUM('Population Figures'!$H25)</f>
        <v>8.9456272897608038</v>
      </c>
      <c r="S23" s="8">
        <f>(E23*1000)/SUM('Population Figures'!$H25)</f>
        <v>661.65405449492062</v>
      </c>
      <c r="T23" s="7">
        <f>(F23*1000)/SUM('Population Figures'!$J25)</f>
        <v>1743.35085446885</v>
      </c>
      <c r="U23" s="8">
        <f>(G23*1000)/SUM('Population Figures'!$I25)</f>
        <v>35.277561349792151</v>
      </c>
      <c r="V23" s="8">
        <f>(H23*1000)/SUM('Population Figures'!$I25)</f>
        <v>114.35583424194054</v>
      </c>
      <c r="W23" s="8">
        <f>(I23*1000)/SUM('Population Figures'!$I25)</f>
        <v>30.223633094904883</v>
      </c>
      <c r="X23" s="8">
        <f>(J23*1000)/SUM('Population Figures'!$I25)</f>
        <v>19.81596728187434</v>
      </c>
      <c r="Y23" s="7">
        <f>(K23*1000)/SUM('Population Figures'!$I25)</f>
        <v>0</v>
      </c>
      <c r="Z23" s="7">
        <f>(L23*1000)/SUM('Population Figures'!$I25)</f>
        <v>0</v>
      </c>
      <c r="AA23" s="7">
        <f>(M23*1000)/SUM('Population Figures'!$I25)</f>
        <v>30.437782597230619</v>
      </c>
    </row>
    <row r="24" spans="1:27">
      <c r="A24" s="7" t="s">
        <v>51</v>
      </c>
      <c r="B24" s="8">
        <f t="shared" si="1"/>
        <v>200249.49256772519</v>
      </c>
      <c r="C24" s="7">
        <f t="shared" si="1"/>
        <v>731.25280781647018</v>
      </c>
      <c r="D24" s="8">
        <f t="shared" si="1"/>
        <v>91.258454135929014</v>
      </c>
      <c r="E24" s="8">
        <f t="shared" si="1"/>
        <v>24050.750776368928</v>
      </c>
      <c r="F24" s="7">
        <f t="shared" ref="C24:M35" si="2">F66*$D$39</f>
        <v>100879.70258625982</v>
      </c>
      <c r="G24" s="8">
        <f t="shared" si="2"/>
        <v>6288.5371122758361</v>
      </c>
      <c r="H24" s="8">
        <f t="shared" si="2"/>
        <v>47254.10162147566</v>
      </c>
      <c r="I24" s="8">
        <f t="shared" si="2"/>
        <v>7862.449152438352</v>
      </c>
      <c r="J24" s="8">
        <f t="shared" si="2"/>
        <v>2671.3838392517405</v>
      </c>
      <c r="K24" s="7">
        <f t="shared" si="2"/>
        <v>0</v>
      </c>
      <c r="L24" s="7">
        <f t="shared" si="2"/>
        <v>18.962795664608628</v>
      </c>
      <c r="M24" s="7">
        <f t="shared" si="2"/>
        <v>10401.093422037833</v>
      </c>
      <c r="O24" s="7" t="s">
        <v>51</v>
      </c>
      <c r="P24" s="8">
        <f>(B24*1000)/SUM('Population Figures'!$H26:$J26)</f>
        <v>619.16236648236099</v>
      </c>
      <c r="Q24" s="7">
        <f>(C24*1000)/SUM('Population Figures'!$H26:$J26)</f>
        <v>2.2610005807200242</v>
      </c>
      <c r="R24" s="8">
        <f>(D24*1000)/SUM('Population Figures'!$H26)</f>
        <v>1.2592236192726711</v>
      </c>
      <c r="S24" s="8">
        <f>(E24*1000)/SUM('Population Figures'!$H26)</f>
        <v>331.86266111558848</v>
      </c>
      <c r="T24" s="7">
        <f>(F24*1000)/SUM('Population Figures'!$J26)</f>
        <v>2156.286392490164</v>
      </c>
      <c r="U24" s="8">
        <f>(G24*1000)/SUM('Population Figures'!$I26)</f>
        <v>30.801400404948161</v>
      </c>
      <c r="V24" s="8">
        <f>(H24*1000)/SUM('Population Figures'!$I26)</f>
        <v>231.45168404554994</v>
      </c>
      <c r="W24" s="8">
        <f>(I24*1000)/SUM('Population Figures'!$I26)</f>
        <v>38.510458026088592</v>
      </c>
      <c r="X24" s="8">
        <f>(J24*1000)/SUM('Population Figures'!$I26)</f>
        <v>13.08449990817059</v>
      </c>
      <c r="Y24" s="7">
        <f>(K24*1000)/SUM('Population Figures'!$I26)</f>
        <v>0</v>
      </c>
      <c r="Z24" s="7">
        <f>(L24*1000)/SUM('Population Figures'!$I26)</f>
        <v>9.2880212302896822E-2</v>
      </c>
      <c r="AA24" s="7">
        <f>(M24*1000)/SUM('Population Figures'!$I26)</f>
        <v>50.944796448138909</v>
      </c>
    </row>
    <row r="25" spans="1:27">
      <c r="A25" s="7" t="s">
        <v>52</v>
      </c>
      <c r="B25" s="8">
        <f t="shared" si="1"/>
        <v>18683.094428555651</v>
      </c>
      <c r="C25" s="7">
        <f t="shared" si="2"/>
        <v>1014.5095680565615</v>
      </c>
      <c r="D25" s="8">
        <f t="shared" si="2"/>
        <v>87.702929948814898</v>
      </c>
      <c r="E25" s="8">
        <f t="shared" si="2"/>
        <v>3000.8624139243152</v>
      </c>
      <c r="F25" s="7">
        <f t="shared" si="2"/>
        <v>10036.059605494116</v>
      </c>
      <c r="G25" s="8">
        <f t="shared" si="2"/>
        <v>1046.5092857405887</v>
      </c>
      <c r="H25" s="8">
        <f t="shared" si="2"/>
        <v>2173.6104530557641</v>
      </c>
      <c r="I25" s="8">
        <f t="shared" si="2"/>
        <v>849.77028072027417</v>
      </c>
      <c r="J25" s="8">
        <f t="shared" si="2"/>
        <v>47.406989161521565</v>
      </c>
      <c r="K25" s="7">
        <f t="shared" si="2"/>
        <v>0</v>
      </c>
      <c r="L25" s="7">
        <f t="shared" si="2"/>
        <v>0</v>
      </c>
      <c r="M25" s="7">
        <f t="shared" si="2"/>
        <v>426.66290245369413</v>
      </c>
      <c r="O25" s="7" t="s">
        <v>52</v>
      </c>
      <c r="P25" s="8">
        <f>(B25*1000)/SUM('Population Figures'!$H27:$J27)</f>
        <v>953.70568803244782</v>
      </c>
      <c r="Q25" s="7">
        <f>(C25*1000)/SUM('Population Figures'!$H27:$J27)</f>
        <v>51.787114244847452</v>
      </c>
      <c r="R25" s="8">
        <f>(D25*1000)/SUM('Population Figures'!$H27)</f>
        <v>20.991606019342964</v>
      </c>
      <c r="S25" s="8">
        <f>(E25*1000)/SUM('Population Figures'!$H27)</f>
        <v>718.25333028346461</v>
      </c>
      <c r="T25" s="7">
        <f>(F25*1000)/SUM('Population Figures'!$J27)</f>
        <v>2837.449704691579</v>
      </c>
      <c r="U25" s="8">
        <f>(G25*1000)/SUM('Population Figures'!$I27)</f>
        <v>88.127097746575885</v>
      </c>
      <c r="V25" s="8">
        <f>(H25*1000)/SUM('Population Figures'!$I27)</f>
        <v>183.0408802573275</v>
      </c>
      <c r="W25" s="8">
        <f>(I25*1000)/SUM('Population Figures'!$I27)</f>
        <v>71.559602586970456</v>
      </c>
      <c r="X25" s="8">
        <f>(J25*1000)/SUM('Population Figures'!$I27)</f>
        <v>3.9921675083386585</v>
      </c>
      <c r="Y25" s="7">
        <f>(K25*1000)/SUM('Population Figures'!$I27)</f>
        <v>0</v>
      </c>
      <c r="Z25" s="7">
        <f>(L25*1000)/SUM('Population Figures'!$I27)</f>
        <v>0</v>
      </c>
      <c r="AA25" s="7">
        <f>(M25*1000)/SUM('Population Figures'!$I27)</f>
        <v>35.929507575047928</v>
      </c>
    </row>
    <row r="26" spans="1:27">
      <c r="A26" s="7" t="s">
        <v>53</v>
      </c>
      <c r="B26" s="8">
        <f t="shared" si="1"/>
        <v>77466.575814113356</v>
      </c>
      <c r="C26" s="7">
        <f t="shared" si="2"/>
        <v>645.92022732573139</v>
      </c>
      <c r="D26" s="8">
        <f t="shared" si="2"/>
        <v>0</v>
      </c>
      <c r="E26" s="8">
        <f t="shared" si="2"/>
        <v>13593.95414206631</v>
      </c>
      <c r="F26" s="7">
        <f t="shared" si="2"/>
        <v>41222.747425401081</v>
      </c>
      <c r="G26" s="8">
        <f t="shared" si="2"/>
        <v>2409.4602241343337</v>
      </c>
      <c r="H26" s="8">
        <f t="shared" si="2"/>
        <v>12523.74136174496</v>
      </c>
      <c r="I26" s="8">
        <f t="shared" si="2"/>
        <v>4406.4796425634295</v>
      </c>
      <c r="J26" s="8">
        <f t="shared" si="2"/>
        <v>760.88217604242118</v>
      </c>
      <c r="K26" s="7">
        <f t="shared" si="2"/>
        <v>0</v>
      </c>
      <c r="L26" s="7">
        <f t="shared" si="2"/>
        <v>0</v>
      </c>
      <c r="M26" s="7">
        <f t="shared" si="2"/>
        <v>1903.3906148350909</v>
      </c>
      <c r="O26" s="7" t="s">
        <v>53</v>
      </c>
      <c r="P26" s="8">
        <f>(B26*1000)/SUM('Population Figures'!$H28:$J28)</f>
        <v>558.96223258614145</v>
      </c>
      <c r="Q26" s="7">
        <f>(C26*1000)/SUM('Population Figures'!$H28:$J28)</f>
        <v>4.6606553670952549</v>
      </c>
      <c r="R26" s="8">
        <f>(D26*1000)/SUM('Population Figures'!$H28)</f>
        <v>0</v>
      </c>
      <c r="S26" s="8">
        <f>(E26*1000)/SUM('Population Figures'!$H28)</f>
        <v>474.56638652701378</v>
      </c>
      <c r="T26" s="7">
        <f>(F26*1000)/SUM('Population Figures'!$J28)</f>
        <v>1540.1160959949593</v>
      </c>
      <c r="U26" s="8">
        <f>(G26*1000)/SUM('Population Figures'!$I28)</f>
        <v>28.967169888245031</v>
      </c>
      <c r="V26" s="8">
        <f>(H26*1000)/SUM('Population Figures'!$I28)</f>
        <v>150.56374038813837</v>
      </c>
      <c r="W26" s="8">
        <f>(I26*1000)/SUM('Population Figures'!$I28)</f>
        <v>52.975867016475668</v>
      </c>
      <c r="X26" s="8">
        <f>(J26*1000)/SUM('Population Figures'!$I28)</f>
        <v>9.1475273331300109</v>
      </c>
      <c r="Y26" s="7">
        <f>(K26*1000)/SUM('Population Figures'!$I28)</f>
        <v>0</v>
      </c>
      <c r="Z26" s="7">
        <f>(L26*1000)/SUM('Population Figures'!$I28)</f>
        <v>0</v>
      </c>
      <c r="AA26" s="7">
        <f>(M26*1000)/SUM('Population Figures'!$I28)</f>
        <v>22.883066817767595</v>
      </c>
    </row>
    <row r="27" spans="1:27">
      <c r="A27" s="7" t="s">
        <v>54</v>
      </c>
      <c r="B27" s="8">
        <f t="shared" si="1"/>
        <v>115725.20124219031</v>
      </c>
      <c r="C27" s="7">
        <f t="shared" si="2"/>
        <v>370.95969018890628</v>
      </c>
      <c r="D27" s="8">
        <f t="shared" si="2"/>
        <v>0</v>
      </c>
      <c r="E27" s="8">
        <f t="shared" si="2"/>
        <v>25797.698326971</v>
      </c>
      <c r="F27" s="7">
        <f t="shared" si="2"/>
        <v>49068.604131632899</v>
      </c>
      <c r="G27" s="8">
        <f t="shared" si="2"/>
        <v>7912.2264910579497</v>
      </c>
      <c r="H27" s="8">
        <f t="shared" si="2"/>
        <v>22122.471492224042</v>
      </c>
      <c r="I27" s="8">
        <f t="shared" si="2"/>
        <v>5892.6887527771314</v>
      </c>
      <c r="J27" s="8">
        <f t="shared" si="2"/>
        <v>1643.8373491757604</v>
      </c>
      <c r="K27" s="7">
        <f t="shared" si="2"/>
        <v>0</v>
      </c>
      <c r="L27" s="7">
        <f t="shared" si="2"/>
        <v>0</v>
      </c>
      <c r="M27" s="7">
        <f t="shared" si="2"/>
        <v>2916.7150081626146</v>
      </c>
      <c r="O27" s="7" t="s">
        <v>54</v>
      </c>
      <c r="P27" s="8">
        <f>(B27*1000)/SUM('Population Figures'!$H29:$J29)</f>
        <v>680.73647789523704</v>
      </c>
      <c r="Q27" s="7">
        <f>(C27*1000)/SUM('Population Figures'!$H29:$J29)</f>
        <v>2.1821158246406251</v>
      </c>
      <c r="R27" s="8">
        <f>(D27*1000)/SUM('Population Figures'!$H29)</f>
        <v>0</v>
      </c>
      <c r="S27" s="8">
        <f>(E27*1000)/SUM('Population Figures'!$H29)</f>
        <v>719.42046144541109</v>
      </c>
      <c r="T27" s="7">
        <f>(F27*1000)/SUM('Population Figures'!$J29)</f>
        <v>1807.6479694836214</v>
      </c>
      <c r="U27" s="8">
        <f>(G27*1000)/SUM('Population Figures'!$I29)</f>
        <v>73.948806413865469</v>
      </c>
      <c r="V27" s="8">
        <f>(H27*1000)/SUM('Population Figures'!$I29)</f>
        <v>206.75979935907924</v>
      </c>
      <c r="W27" s="8">
        <f>(I27*1000)/SUM('Population Figures'!$I29)</f>
        <v>55.073916340584056</v>
      </c>
      <c r="X27" s="8">
        <f>(J27*1000)/SUM('Population Figures'!$I29)</f>
        <v>15.363540218099374</v>
      </c>
      <c r="Y27" s="7">
        <f>(K27*1000)/SUM('Population Figures'!$I29)</f>
        <v>0</v>
      </c>
      <c r="Z27" s="7">
        <f>(L27*1000)/SUM('Population Figures'!$I29)</f>
        <v>0</v>
      </c>
      <c r="AA27" s="7">
        <f>(M27*1000)/SUM('Population Figures'!$I29)</f>
        <v>27.260037834709845</v>
      </c>
    </row>
    <row r="28" spans="1:27">
      <c r="A28" s="7" t="s">
        <v>55</v>
      </c>
      <c r="B28" s="8">
        <f t="shared" si="1"/>
        <v>71934.180178963798</v>
      </c>
      <c r="C28" s="7">
        <f t="shared" si="2"/>
        <v>731.25280781647018</v>
      </c>
      <c r="D28" s="8">
        <f t="shared" si="2"/>
        <v>61.629085909978038</v>
      </c>
      <c r="E28" s="8">
        <f t="shared" si="2"/>
        <v>10843.163595969021</v>
      </c>
      <c r="F28" s="7">
        <f t="shared" si="2"/>
        <v>35729.462556309765</v>
      </c>
      <c r="G28" s="8">
        <f t="shared" si="2"/>
        <v>6129.7236985847385</v>
      </c>
      <c r="H28" s="8">
        <f t="shared" si="2"/>
        <v>13774.100700880092</v>
      </c>
      <c r="I28" s="8">
        <f t="shared" si="2"/>
        <v>2814.7899814653433</v>
      </c>
      <c r="J28" s="8">
        <f t="shared" si="2"/>
        <v>234.66459634953176</v>
      </c>
      <c r="K28" s="7">
        <f t="shared" si="2"/>
        <v>0</v>
      </c>
      <c r="L28" s="7">
        <f t="shared" si="2"/>
        <v>-1.1851747290380392</v>
      </c>
      <c r="M28" s="7">
        <f t="shared" si="2"/>
        <v>1616.5783304078855</v>
      </c>
      <c r="O28" s="7" t="s">
        <v>55</v>
      </c>
      <c r="P28" s="8">
        <f>(B28*1000)/SUM('Population Figures'!$H30:$J30)</f>
        <v>655.55618499010109</v>
      </c>
      <c r="Q28" s="7">
        <f>(C28*1000)/SUM('Population Figures'!$H30:$J30)</f>
        <v>6.6641101596324628</v>
      </c>
      <c r="R28" s="8">
        <f>(D28*1000)/SUM('Population Figures'!$H30)</f>
        <v>2.6914615210925859</v>
      </c>
      <c r="S28" s="8">
        <f>(E28*1000)/SUM('Population Figures'!$H30)</f>
        <v>473.54195108607831</v>
      </c>
      <c r="T28" s="7">
        <f>(F28*1000)/SUM('Population Figures'!$J30)</f>
        <v>1687.0231151758708</v>
      </c>
      <c r="U28" s="8">
        <f>(G28*1000)/SUM('Population Figures'!$I30)</f>
        <v>93.365477565149163</v>
      </c>
      <c r="V28" s="8">
        <f>(H28*1000)/SUM('Population Figures'!$I30)</f>
        <v>209.80154297412292</v>
      </c>
      <c r="W28" s="8">
        <f>(I28*1000)/SUM('Population Figures'!$I30)</f>
        <v>42.873745014932197</v>
      </c>
      <c r="X28" s="8">
        <f>(J28*1000)/SUM('Population Figures'!$I30)</f>
        <v>3.5743164265080312</v>
      </c>
      <c r="Y28" s="7">
        <f>(K28*1000)/SUM('Population Figures'!$I30)</f>
        <v>0</v>
      </c>
      <c r="Z28" s="7">
        <f>(L28*1000)/SUM('Population Figures'!$I30)</f>
        <v>-1.8052103164181977E-2</v>
      </c>
      <c r="AA28" s="7">
        <f>(M28*1000)/SUM('Population Figures'!$I30)</f>
        <v>24.623068715944211</v>
      </c>
    </row>
    <row r="29" spans="1:27">
      <c r="A29" s="7" t="s">
        <v>56</v>
      </c>
      <c r="B29" s="8">
        <f t="shared" si="1"/>
        <v>22031.21303808811</v>
      </c>
      <c r="C29" s="7">
        <f t="shared" si="2"/>
        <v>392.29283531159098</v>
      </c>
      <c r="D29" s="8">
        <f t="shared" si="2"/>
        <v>47.406989161521565</v>
      </c>
      <c r="E29" s="8">
        <f t="shared" si="2"/>
        <v>4308.1101400532725</v>
      </c>
      <c r="F29" s="7">
        <f t="shared" si="2"/>
        <v>11547.157385017616</v>
      </c>
      <c r="G29" s="8">
        <f t="shared" si="2"/>
        <v>1227.8410192834087</v>
      </c>
      <c r="H29" s="8">
        <f t="shared" si="2"/>
        <v>3376.5628030293738</v>
      </c>
      <c r="I29" s="8">
        <f t="shared" si="2"/>
        <v>694.51239121629101</v>
      </c>
      <c r="J29" s="8">
        <f t="shared" si="2"/>
        <v>145.77649167167883</v>
      </c>
      <c r="K29" s="7">
        <f t="shared" si="2"/>
        <v>0</v>
      </c>
      <c r="L29" s="7">
        <f t="shared" si="2"/>
        <v>0</v>
      </c>
      <c r="M29" s="7">
        <f t="shared" si="2"/>
        <v>291.55298334335765</v>
      </c>
      <c r="O29" s="7" t="s">
        <v>56</v>
      </c>
      <c r="P29" s="8">
        <f>(B29*1000)/SUM('Population Figures'!$H31:$J31)</f>
        <v>1001.4187744585504</v>
      </c>
      <c r="Q29" s="7">
        <f>(C29*1000)/SUM('Population Figures'!$H31:$J31)</f>
        <v>17.831492514163227</v>
      </c>
      <c r="R29" s="8">
        <f>(D29*1000)/SUM('Population Figures'!$H31)</f>
        <v>9.2034535355312688</v>
      </c>
      <c r="S29" s="8">
        <f>(E29*1000)/SUM('Population Figures'!$H31)</f>
        <v>836.36384004140405</v>
      </c>
      <c r="T29" s="7">
        <f>(F29*1000)/SUM('Population Figures'!$J31)</f>
        <v>3471.7851428194872</v>
      </c>
      <c r="U29" s="8">
        <f>(G29*1000)/SUM('Population Figures'!$I31)</f>
        <v>90.796496286579071</v>
      </c>
      <c r="V29" s="8">
        <f>(H29*1000)/SUM('Population Figures'!$I31)</f>
        <v>249.69036478809241</v>
      </c>
      <c r="W29" s="8">
        <f>(I29*1000)/SUM('Population Figures'!$I31)</f>
        <v>51.357863729667308</v>
      </c>
      <c r="X29" s="8">
        <f>(J29*1000)/SUM('Population Figures'!$I31)</f>
        <v>10.779892898889212</v>
      </c>
      <c r="Y29" s="7">
        <f>(K29*1000)/SUM('Population Figures'!$I31)</f>
        <v>0</v>
      </c>
      <c r="Z29" s="7">
        <f>(L29*1000)/SUM('Population Figures'!$I31)</f>
        <v>0</v>
      </c>
      <c r="AA29" s="7">
        <f>(M29*1000)/SUM('Population Figures'!$I31)</f>
        <v>21.559785797778424</v>
      </c>
    </row>
    <row r="30" spans="1:27">
      <c r="A30" s="7" t="s">
        <v>57</v>
      </c>
      <c r="B30" s="8">
        <f t="shared" si="1"/>
        <v>72156.993028022946</v>
      </c>
      <c r="C30" s="7">
        <f t="shared" si="2"/>
        <v>53.332862806711766</v>
      </c>
      <c r="D30" s="8">
        <f t="shared" si="2"/>
        <v>41.481115516331371</v>
      </c>
      <c r="E30" s="8">
        <f t="shared" si="2"/>
        <v>16574.668585596977</v>
      </c>
      <c r="F30" s="7">
        <f t="shared" si="2"/>
        <v>37152.857405884453</v>
      </c>
      <c r="G30" s="8">
        <f t="shared" si="2"/>
        <v>4030.7792534583714</v>
      </c>
      <c r="H30" s="8">
        <f t="shared" si="2"/>
        <v>10869.237440007857</v>
      </c>
      <c r="I30" s="8">
        <f t="shared" si="2"/>
        <v>1157.9157102701643</v>
      </c>
      <c r="J30" s="8">
        <f t="shared" si="2"/>
        <v>626.95743166112277</v>
      </c>
      <c r="K30" s="7">
        <f t="shared" si="2"/>
        <v>0</v>
      </c>
      <c r="L30" s="7">
        <f t="shared" si="2"/>
        <v>0</v>
      </c>
      <c r="M30" s="7">
        <f t="shared" si="2"/>
        <v>1649.7632228209507</v>
      </c>
      <c r="O30" s="7" t="s">
        <v>57</v>
      </c>
      <c r="P30" s="8">
        <f>(B30*1000)/SUM('Population Figures'!$H32:$J32)</f>
        <v>645.52686552176544</v>
      </c>
      <c r="Q30" s="7">
        <f>(C30*1000)/SUM('Population Figures'!$H32:$J32)</f>
        <v>0.4771234818993717</v>
      </c>
      <c r="R30" s="8">
        <f>(D30*1000)/SUM('Population Figures'!$H32)</f>
        <v>1.8910925696982619</v>
      </c>
      <c r="S30" s="8">
        <f>(E30*1000)/SUM('Population Figures'!$H32)</f>
        <v>755.62655963514828</v>
      </c>
      <c r="T30" s="7">
        <f>(F30*1000)/SUM('Population Figures'!$J32)</f>
        <v>1661.2053389619698</v>
      </c>
      <c r="U30" s="8">
        <f>(G30*1000)/SUM('Population Figures'!$I32)</f>
        <v>59.732946850301886</v>
      </c>
      <c r="V30" s="8">
        <f>(H30*1000)/SUM('Population Figures'!$I32)</f>
        <v>161.0734653231751</v>
      </c>
      <c r="W30" s="8">
        <f>(I30*1000)/SUM('Population Figures'!$I32)</f>
        <v>17.159391082841793</v>
      </c>
      <c r="X30" s="8">
        <f>(J30*1000)/SUM('Population Figures'!$I32)</f>
        <v>9.291011139020787</v>
      </c>
      <c r="Y30" s="7">
        <f>(K30*1000)/SUM('Population Figures'!$I32)</f>
        <v>0</v>
      </c>
      <c r="Z30" s="7">
        <f>(L30*1000)/SUM('Population Figures'!$I32)</f>
        <v>0</v>
      </c>
      <c r="AA30" s="7">
        <f>(M30*1000)/SUM('Population Figures'!$I32)</f>
        <v>24.44818053972956</v>
      </c>
    </row>
    <row r="31" spans="1:27">
      <c r="A31" s="7" t="s">
        <v>58</v>
      </c>
      <c r="B31" s="8">
        <f t="shared" si="1"/>
        <v>162443.60388614077</v>
      </c>
      <c r="C31" s="7">
        <f t="shared" si="2"/>
        <v>2241.165412610932</v>
      </c>
      <c r="D31" s="8">
        <f t="shared" si="2"/>
        <v>63.999435368054115</v>
      </c>
      <c r="E31" s="8">
        <f t="shared" si="2"/>
        <v>29707.58975806749</v>
      </c>
      <c r="F31" s="7">
        <f t="shared" si="2"/>
        <v>79631.890044065862</v>
      </c>
      <c r="G31" s="8">
        <f t="shared" si="2"/>
        <v>5940.0957419386523</v>
      </c>
      <c r="H31" s="8">
        <f t="shared" si="2"/>
        <v>32965.635088193063</v>
      </c>
      <c r="I31" s="8">
        <f t="shared" si="2"/>
        <v>5192.2504879156495</v>
      </c>
      <c r="J31" s="8">
        <f t="shared" si="2"/>
        <v>1096.2866243601864</v>
      </c>
      <c r="K31" s="7">
        <f t="shared" si="2"/>
        <v>0</v>
      </c>
      <c r="L31" s="7">
        <f t="shared" si="2"/>
        <v>0</v>
      </c>
      <c r="M31" s="7">
        <f t="shared" si="2"/>
        <v>5604.6912936208873</v>
      </c>
      <c r="O31" s="7" t="s">
        <v>58</v>
      </c>
      <c r="P31" s="8">
        <f>(B31*1000)/SUM('Population Figures'!$H33:$J33)</f>
        <v>530.37613910846528</v>
      </c>
      <c r="Q31" s="7">
        <f>(C31*1000)/SUM('Population Figures'!$H33:$J33)</f>
        <v>7.3173743392024679</v>
      </c>
      <c r="R31" s="8">
        <f>(D31*1000)/SUM('Population Figures'!$H33)</f>
        <v>0.97572013916413769</v>
      </c>
      <c r="S31" s="8">
        <f>(E31*1000)/SUM('Population Figures'!$H33)</f>
        <v>452.91483348681987</v>
      </c>
      <c r="T31" s="7">
        <f>(F31*1000)/SUM('Population Figures'!$J33)</f>
        <v>1637.5054502172704</v>
      </c>
      <c r="U31" s="8">
        <f>(G31*1000)/SUM('Population Figures'!$I33)</f>
        <v>30.9286556245439</v>
      </c>
      <c r="V31" s="8">
        <f>(H31*1000)/SUM('Population Figures'!$I33)</f>
        <v>171.64416524275512</v>
      </c>
      <c r="W31" s="8">
        <f>(I31*1000)/SUM('Population Figures'!$I33)</f>
        <v>27.0348045273597</v>
      </c>
      <c r="X31" s="8">
        <f>(J31*1000)/SUM('Population Figures'!$I33)</f>
        <v>5.7081018461099582</v>
      </c>
      <c r="Y31" s="7">
        <f>(K31*1000)/SUM('Population Figures'!$I33)</f>
        <v>0</v>
      </c>
      <c r="Z31" s="7">
        <f>(L31*1000)/SUM('Population Figures'!$I33)</f>
        <v>0</v>
      </c>
      <c r="AA31" s="7">
        <f>(M31*1000)/SUM('Population Figures'!$I33)</f>
        <v>29.18228500567999</v>
      </c>
    </row>
    <row r="32" spans="1:27">
      <c r="A32" s="7" t="s">
        <v>59</v>
      </c>
      <c r="B32" s="8">
        <f t="shared" si="1"/>
        <v>50514.517301059306</v>
      </c>
      <c r="C32" s="7">
        <f t="shared" si="2"/>
        <v>493.0326872798243</v>
      </c>
      <c r="D32" s="8">
        <f t="shared" si="2"/>
        <v>0</v>
      </c>
      <c r="E32" s="8">
        <f t="shared" si="2"/>
        <v>10789.830733162309</v>
      </c>
      <c r="F32" s="7">
        <f t="shared" si="2"/>
        <v>23016.093237918722</v>
      </c>
      <c r="G32" s="8">
        <f t="shared" si="2"/>
        <v>2935.6778038272232</v>
      </c>
      <c r="H32" s="8">
        <f t="shared" si="2"/>
        <v>8235.7791920853342</v>
      </c>
      <c r="I32" s="8">
        <f t="shared" si="2"/>
        <v>2530.3480464962136</v>
      </c>
      <c r="J32" s="8">
        <f t="shared" si="2"/>
        <v>479.9957652604059</v>
      </c>
      <c r="K32" s="7">
        <f t="shared" si="2"/>
        <v>0</v>
      </c>
      <c r="L32" s="7">
        <f t="shared" si="2"/>
        <v>0</v>
      </c>
      <c r="M32" s="7">
        <f t="shared" si="2"/>
        <v>2033.7598350292753</v>
      </c>
      <c r="O32" s="7" t="s">
        <v>59</v>
      </c>
      <c r="P32" s="8">
        <f>(B32*1000)/SUM('Population Figures'!$H34:$J34)</f>
        <v>581.09418268790182</v>
      </c>
      <c r="Q32" s="7">
        <f>(C32*1000)/SUM('Population Figures'!$H34:$J34)</f>
        <v>5.6716057434697378</v>
      </c>
      <c r="R32" s="8">
        <f>(D32*1000)/SUM('Population Figures'!$H34)</f>
        <v>0</v>
      </c>
      <c r="S32" s="8">
        <f>(E32*1000)/SUM('Population Figures'!$H34)</f>
        <v>560.94778961072575</v>
      </c>
      <c r="T32" s="7">
        <f>(F32*1000)/SUM('Population Figures'!$J34)</f>
        <v>1626.8089650776592</v>
      </c>
      <c r="U32" s="8">
        <f>(G32*1000)/SUM('Population Figures'!$I34)</f>
        <v>54.82431889419059</v>
      </c>
      <c r="V32" s="8">
        <f>(H32*1000)/SUM('Population Figures'!$I34)</f>
        <v>153.80467985293919</v>
      </c>
      <c r="W32" s="8">
        <f>(I32*1000)/SUM('Population Figures'!$I34)</f>
        <v>47.254711683123489</v>
      </c>
      <c r="X32" s="8">
        <f>(J32*1000)/SUM('Population Figures'!$I34)</f>
        <v>8.9640085394215525</v>
      </c>
      <c r="Y32" s="7">
        <f>(K32*1000)/SUM('Population Figures'!$I34)</f>
        <v>0</v>
      </c>
      <c r="Z32" s="7">
        <f>(L32*1000)/SUM('Population Figures'!$I34)</f>
        <v>0</v>
      </c>
      <c r="AA32" s="7">
        <f>(M32*1000)/SUM('Population Figures'!$I34)</f>
        <v>37.980836181845397</v>
      </c>
    </row>
    <row r="33" spans="1:27">
      <c r="A33" s="7" t="s">
        <v>60</v>
      </c>
      <c r="B33" s="8">
        <f t="shared" si="1"/>
        <v>68895.392173710265</v>
      </c>
      <c r="C33" s="7">
        <f t="shared" si="2"/>
        <v>671.99407136456819</v>
      </c>
      <c r="D33" s="8">
        <f t="shared" si="2"/>
        <v>117.33229817476588</v>
      </c>
      <c r="E33" s="8">
        <f t="shared" si="2"/>
        <v>16521.335722790267</v>
      </c>
      <c r="F33" s="7">
        <f t="shared" si="2"/>
        <v>26112.954804895118</v>
      </c>
      <c r="G33" s="8">
        <f t="shared" si="2"/>
        <v>5584.5433232272408</v>
      </c>
      <c r="H33" s="8">
        <f t="shared" si="2"/>
        <v>11115.75378364777</v>
      </c>
      <c r="I33" s="8">
        <f t="shared" si="2"/>
        <v>5230.1760792448667</v>
      </c>
      <c r="J33" s="8">
        <f t="shared" si="2"/>
        <v>1522.9495268138803</v>
      </c>
      <c r="K33" s="7">
        <f t="shared" si="2"/>
        <v>42.66629024536941</v>
      </c>
      <c r="L33" s="7">
        <f t="shared" si="2"/>
        <v>45.036639703445488</v>
      </c>
      <c r="M33" s="7">
        <f t="shared" si="2"/>
        <v>1930.6496336029659</v>
      </c>
      <c r="O33" s="7" t="s">
        <v>60</v>
      </c>
      <c r="P33" s="8">
        <f>(B33*1000)/SUM('Population Figures'!$H35:$J35)</f>
        <v>753.7789078086463</v>
      </c>
      <c r="Q33" s="7">
        <f>(C33*1000)/SUM('Population Figures'!$H35:$J35)</f>
        <v>7.352232728277551</v>
      </c>
      <c r="R33" s="8">
        <f>(D33*1000)/SUM('Population Figures'!$H35)</f>
        <v>6.0658790350393357</v>
      </c>
      <c r="S33" s="8">
        <f>(E33*1000)/SUM('Population Figures'!$H35)</f>
        <v>854.12478533786214</v>
      </c>
      <c r="T33" s="7">
        <f>(F33*1000)/SUM('Population Figures'!$J35)</f>
        <v>1783.4281385668023</v>
      </c>
      <c r="U33" s="8">
        <f>(G33*1000)/SUM('Population Figures'!$I35)</f>
        <v>97.266277509836115</v>
      </c>
      <c r="V33" s="8">
        <f>(H33*1000)/SUM('Population Figures'!$I35)</f>
        <v>193.60365381255369</v>
      </c>
      <c r="W33" s="8">
        <f>(I33*1000)/SUM('Population Figures'!$I35)</f>
        <v>91.094245044759504</v>
      </c>
      <c r="X33" s="8">
        <f>(J33*1000)/SUM('Population Figures'!$I35)</f>
        <v>26.525290025496478</v>
      </c>
      <c r="Y33" s="7">
        <f>(K33*1000)/SUM('Population Figures'!$I35)</f>
        <v>0.74312096569484298</v>
      </c>
      <c r="Z33" s="7">
        <f>(L33*1000)/SUM('Population Figures'!$I35)</f>
        <v>0.78440546378900089</v>
      </c>
      <c r="AA33" s="7">
        <f>(M33*1000)/SUM('Population Figures'!$I35)</f>
        <v>33.626223697691643</v>
      </c>
    </row>
    <row r="34" spans="1:27">
      <c r="A34" s="7" t="s">
        <v>61</v>
      </c>
      <c r="B34" s="8">
        <f t="shared" si="1"/>
        <v>77259.170236531703</v>
      </c>
      <c r="C34" s="7">
        <f t="shared" si="2"/>
        <v>3326.7854644097761</v>
      </c>
      <c r="D34" s="8">
        <f t="shared" si="2"/>
        <v>50.962513348635689</v>
      </c>
      <c r="E34" s="8">
        <f t="shared" si="2"/>
        <v>18783.834280523883</v>
      </c>
      <c r="F34" s="7">
        <f t="shared" si="2"/>
        <v>29685.071438215768</v>
      </c>
      <c r="G34" s="8">
        <f t="shared" si="2"/>
        <v>5631.9503123887625</v>
      </c>
      <c r="H34" s="8">
        <f t="shared" si="2"/>
        <v>12251.151174066212</v>
      </c>
      <c r="I34" s="8">
        <f t="shared" si="2"/>
        <v>4241.7403552271426</v>
      </c>
      <c r="J34" s="8">
        <f t="shared" si="2"/>
        <v>1077.3238286955777</v>
      </c>
      <c r="K34" s="7">
        <f t="shared" si="2"/>
        <v>9.4813978323043138</v>
      </c>
      <c r="L34" s="7">
        <f t="shared" si="2"/>
        <v>0</v>
      </c>
      <c r="M34" s="7">
        <f t="shared" si="2"/>
        <v>2200.8694718236388</v>
      </c>
      <c r="O34" s="7" t="s">
        <v>61</v>
      </c>
      <c r="P34" s="8">
        <f>(B34*1000)/SUM('Population Figures'!$H36:$J36)</f>
        <v>471.72530367890892</v>
      </c>
      <c r="Q34" s="7">
        <f>(C34*1000)/SUM('Population Figures'!$H36:$J36)</f>
        <v>20.31252573213931</v>
      </c>
      <c r="R34" s="8">
        <f>(D34*1000)/SUM('Population Figures'!$H36)</f>
        <v>1.3150937589965856</v>
      </c>
      <c r="S34" s="8">
        <f>(E34*1000)/SUM('Population Figures'!$H36)</f>
        <v>484.7190927055089</v>
      </c>
      <c r="T34" s="7">
        <f>(F34*1000)/SUM('Population Figures'!$J36)</f>
        <v>1463.8331001635074</v>
      </c>
      <c r="U34" s="8">
        <f>(G34*1000)/SUM('Population Figures'!$I36)</f>
        <v>53.766148721121567</v>
      </c>
      <c r="V34" s="8">
        <f>(H34*1000)/SUM('Population Figures'!$I36)</f>
        <v>116.95721366376969</v>
      </c>
      <c r="W34" s="8">
        <f>(I34*1000)/SUM('Population Figures'!$I36)</f>
        <v>40.494327919380069</v>
      </c>
      <c r="X34" s="8">
        <f>(J34*1000)/SUM('Population Figures'!$I36)</f>
        <v>10.284812539456967</v>
      </c>
      <c r="Y34" s="7">
        <f>(K34*1000)/SUM('Population Figures'!$I36)</f>
        <v>9.051540188741003E-2</v>
      </c>
      <c r="Z34" s="7">
        <f>(L34*1000)/SUM('Population Figures'!$I36)</f>
        <v>0</v>
      </c>
      <c r="AA34" s="7">
        <f>(M34*1000)/SUM('Population Figures'!$I36)</f>
        <v>21.010887663115053</v>
      </c>
    </row>
    <row r="35" spans="1:27">
      <c r="A35" s="52" t="s">
        <v>62</v>
      </c>
      <c r="B35" s="53">
        <f t="shared" si="1"/>
        <v>3328018.0461279755</v>
      </c>
      <c r="C35" s="52">
        <f t="shared" si="2"/>
        <v>31332.464311578642</v>
      </c>
      <c r="D35" s="53">
        <f t="shared" si="2"/>
        <v>2968.8626962402882</v>
      </c>
      <c r="E35" s="53">
        <f t="shared" si="2"/>
        <v>697167.18260933622</v>
      </c>
      <c r="F35" s="52">
        <f t="shared" si="2"/>
        <v>1485210.0079171222</v>
      </c>
      <c r="G35" s="53">
        <f t="shared" si="2"/>
        <v>214439.58959849764</v>
      </c>
      <c r="H35" s="53">
        <f t="shared" si="2"/>
        <v>562237.41005781351</v>
      </c>
      <c r="I35" s="53">
        <f t="shared" si="2"/>
        <v>174822.75393094309</v>
      </c>
      <c r="J35" s="53">
        <f t="shared" si="2"/>
        <v>44205.832218389827</v>
      </c>
      <c r="K35" s="52">
        <f t="shared" si="2"/>
        <v>2639.3841215677135</v>
      </c>
      <c r="L35" s="52">
        <f t="shared" si="2"/>
        <v>2964.1219973241359</v>
      </c>
      <c r="M35" s="52">
        <f t="shared" si="2"/>
        <v>110030.43666916252</v>
      </c>
      <c r="O35" s="52" t="s">
        <v>5</v>
      </c>
      <c r="P35" s="53">
        <f>(B35*1000)/SUM('Population Figures'!$H37:$J37)</f>
        <v>653.2185848567118</v>
      </c>
      <c r="Q35" s="52">
        <f>(C35*1000)/SUM('Population Figures'!$H37:$J37)</f>
        <v>6.1498909302776639</v>
      </c>
      <c r="R35" s="53">
        <f>(D35*1000)/SUM('Population Figures'!$H37)</f>
        <v>2.803387162216155</v>
      </c>
      <c r="S35" s="53">
        <f>(E35*1000)/SUM('Population Figures'!$H37)</f>
        <v>658.30916738604049</v>
      </c>
      <c r="T35" s="52">
        <f>(F35*1000)/SUM('Population Figures'!$J37)</f>
        <v>1782.7640193268971</v>
      </c>
      <c r="U35" s="53">
        <f>(G35*1000)/SUM('Population Figures'!$I37)</f>
        <v>66.956316758094587</v>
      </c>
      <c r="V35" s="53">
        <f>(H35*1000)/SUM('Population Figures'!$I37)</f>
        <v>175.55222051845143</v>
      </c>
      <c r="W35" s="53">
        <f>(I35*1000)/SUM('Population Figures'!$I37)</f>
        <v>54.586411542006886</v>
      </c>
      <c r="X35" s="53">
        <f>(J35*1000)/SUM('Population Figures'!$I37)</f>
        <v>13.802767064195264</v>
      </c>
      <c r="Y35" s="52">
        <f>(K35*1000)/SUM('Population Figures'!$I37)</f>
        <v>0.82411759703913934</v>
      </c>
      <c r="Z35" s="52">
        <f>(L35*1000)/SUM('Population Figures'!$I37)</f>
        <v>0.92551329600129639</v>
      </c>
      <c r="AA35" s="52">
        <f>(M35*1000)/SUM('Population Figures'!$I37)</f>
        <v>34.355749255283627</v>
      </c>
    </row>
    <row r="37" spans="1:27" ht="13.5" thickBot="1"/>
    <row r="38" spans="1:27">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27" ht="13.5" thickBot="1">
      <c r="A39" s="556" t="s">
        <v>374</v>
      </c>
      <c r="B39" s="560">
        <f>Deflators!$K$2/Deflators!B2</f>
        <v>1.2578653222339471</v>
      </c>
      <c r="C39" s="560">
        <f>Deflators!$K$2/Deflators!C2</f>
        <v>1.2198372792278347</v>
      </c>
      <c r="D39" s="561">
        <f>Deflators!$K$2/Deflators!D2</f>
        <v>1.1851747290380392</v>
      </c>
      <c r="E39" s="565">
        <f>Deflators!$K$2/Deflators!E2</f>
        <v>1.1511498980650239</v>
      </c>
      <c r="F39" s="565">
        <f>Deflators!$K$2/Deflators!F2</f>
        <v>1.1192446793712618</v>
      </c>
      <c r="G39" s="565">
        <f>Deflators!$K$2/Deflators!G2</f>
        <v>1.0903639628245232</v>
      </c>
      <c r="H39" s="565">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27">
      <c r="N40" s="233"/>
      <c r="S40" s="11"/>
      <c r="V40" s="11"/>
      <c r="W40" s="11"/>
      <c r="X40" s="149"/>
    </row>
    <row r="41" spans="1:27">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63.75">
      <c r="A44" s="21" t="s">
        <v>26</v>
      </c>
      <c r="B44" s="10" t="s">
        <v>9</v>
      </c>
      <c r="C44" s="9" t="s">
        <v>10</v>
      </c>
      <c r="D44" s="10" t="s">
        <v>11</v>
      </c>
      <c r="E44" s="10" t="s">
        <v>12</v>
      </c>
      <c r="F44" s="9" t="s">
        <v>14</v>
      </c>
      <c r="G44" s="10" t="s">
        <v>15</v>
      </c>
      <c r="H44" s="10" t="s">
        <v>16</v>
      </c>
      <c r="I44" s="10" t="s">
        <v>17</v>
      </c>
      <c r="J44" s="446" t="s">
        <v>351</v>
      </c>
      <c r="K44" s="44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27">
      <c r="A45" s="7" t="s">
        <v>31</v>
      </c>
      <c r="B45" s="425">
        <v>131021</v>
      </c>
      <c r="C45" s="280">
        <v>660</v>
      </c>
      <c r="D45" s="425">
        <v>0</v>
      </c>
      <c r="E45" s="425">
        <v>26684</v>
      </c>
      <c r="F45" s="280">
        <v>54716</v>
      </c>
      <c r="G45" s="425">
        <v>9391</v>
      </c>
      <c r="H45" s="425">
        <v>23580</v>
      </c>
      <c r="I45" s="425">
        <v>8773</v>
      </c>
      <c r="J45" s="425">
        <v>3001</v>
      </c>
      <c r="K45" s="280">
        <v>0</v>
      </c>
      <c r="L45" s="280">
        <v>14</v>
      </c>
      <c r="M45" s="280">
        <v>4202</v>
      </c>
      <c r="N45" s="233"/>
      <c r="O45" s="7" t="s">
        <v>31</v>
      </c>
      <c r="P45" s="425">
        <f>(B45*1000)/SUM('Population Figures'!$H5:$J5)</f>
        <v>636.30226798115677</v>
      </c>
      <c r="Q45" s="280">
        <f>(C45/SUM('Population Figures'!H5:J5))*1000</f>
        <v>3.2052838618814046</v>
      </c>
      <c r="R45" s="425">
        <f>(D45/'Population Figures'!H5)*1000</f>
        <v>0</v>
      </c>
      <c r="S45" s="425">
        <f>(E45/'Population Figures'!H5)*1000</f>
        <v>708.21168851849882</v>
      </c>
      <c r="T45" s="280">
        <f>(F45/'Population Figures'!J5)*1000</f>
        <v>1688.8696833137849</v>
      </c>
      <c r="U45" s="425">
        <f>(G45/'Population Figures'!I5)*1000</f>
        <v>69.135857001928827</v>
      </c>
      <c r="V45" s="425">
        <f>(H45/'Population Figures'!I5)*1000</f>
        <v>173.59424002826978</v>
      </c>
      <c r="W45" s="425">
        <f>(I45/'Population Figures'!I5)*1000</f>
        <v>64.586186080068316</v>
      </c>
      <c r="X45" s="500">
        <f>(J45/'Population Figures'!I5)*1000</f>
        <v>22.093143101138153</v>
      </c>
      <c r="Y45" s="186">
        <f>(K45/'Population Figures'!I5)*1000</f>
        <v>0</v>
      </c>
      <c r="Z45" s="186">
        <f>(L45/'Population Figures'!I5)*1000</f>
        <v>0.10306697881237394</v>
      </c>
      <c r="AA45" s="501">
        <f>(M45/'Population Figures'!I5)*1000</f>
        <v>30.934817497828231</v>
      </c>
    </row>
    <row r="46" spans="1:27">
      <c r="A46" s="7" t="s">
        <v>32</v>
      </c>
      <c r="B46" s="425">
        <v>109310</v>
      </c>
      <c r="C46" s="280">
        <v>1020</v>
      </c>
      <c r="D46" s="425">
        <v>113</v>
      </c>
      <c r="E46" s="425">
        <v>18454</v>
      </c>
      <c r="F46" s="280">
        <v>51436</v>
      </c>
      <c r="G46" s="425">
        <v>3813</v>
      </c>
      <c r="H46" s="425">
        <v>27219</v>
      </c>
      <c r="I46" s="425">
        <v>3822</v>
      </c>
      <c r="J46" s="425">
        <v>1477</v>
      </c>
      <c r="K46" s="280">
        <v>0</v>
      </c>
      <c r="L46" s="280">
        <v>0</v>
      </c>
      <c r="M46" s="280">
        <v>1956</v>
      </c>
      <c r="N46" s="233"/>
      <c r="O46" s="7" t="s">
        <v>32</v>
      </c>
      <c r="P46" s="425">
        <f>(B46*1000)/SUM('Population Figures'!$H6:$J6)</f>
        <v>468.27742792271772</v>
      </c>
      <c r="Q46" s="280">
        <f>(C46/SUM('Population Figures'!H6:J6))*1000</f>
        <v>4.3696183009895897</v>
      </c>
      <c r="R46" s="425">
        <f>(D46/'Population Figures'!H6)*1000</f>
        <v>2.1487791891686316</v>
      </c>
      <c r="S46" s="425">
        <f>(E46/'Population Figures'!H6)*1000</f>
        <v>350.91655891077812</v>
      </c>
      <c r="T46" s="280">
        <f>(F46/'Population Figures'!J6)*1000</f>
        <v>1436.5190191588001</v>
      </c>
      <c r="U46" s="425">
        <f>(G46/'Population Figures'!I6)*1000</f>
        <v>26.29002454563005</v>
      </c>
      <c r="V46" s="425">
        <f>(H46/'Population Figures'!I6)*1000</f>
        <v>187.67064728756998</v>
      </c>
      <c r="W46" s="425">
        <f>(I46/'Population Figures'!I6)*1000</f>
        <v>26.352078104746408</v>
      </c>
      <c r="X46" s="500">
        <f>(J46/'Population Figures'!I6)*1000</f>
        <v>10.183678534984418</v>
      </c>
      <c r="Y46" s="186">
        <f>(K46/'Population Figures'!I6)*1000</f>
        <v>0</v>
      </c>
      <c r="Z46" s="186">
        <f>(L46/'Population Figures'!I6)*1000</f>
        <v>0</v>
      </c>
      <c r="AA46" s="501">
        <f>(M46/'Population Figures'!I6)*1000</f>
        <v>13.486306847954991</v>
      </c>
    </row>
    <row r="47" spans="1:27">
      <c r="A47" s="7" t="s">
        <v>33</v>
      </c>
      <c r="B47" s="425">
        <v>58206</v>
      </c>
      <c r="C47" s="280">
        <v>326</v>
      </c>
      <c r="D47" s="425">
        <v>127</v>
      </c>
      <c r="E47" s="425">
        <v>11952</v>
      </c>
      <c r="F47" s="280">
        <v>31373</v>
      </c>
      <c r="G47" s="425">
        <v>2921</v>
      </c>
      <c r="H47" s="425">
        <v>8122</v>
      </c>
      <c r="I47" s="425">
        <v>1726</v>
      </c>
      <c r="J47" s="425">
        <v>281</v>
      </c>
      <c r="K47" s="280">
        <v>5</v>
      </c>
      <c r="L47" s="280">
        <v>0</v>
      </c>
      <c r="M47" s="280">
        <v>1373</v>
      </c>
      <c r="N47" s="233"/>
      <c r="O47" s="7" t="s">
        <v>33</v>
      </c>
      <c r="P47" s="425">
        <f>(B47*1000)/SUM('Population Figures'!$H7:$J7)</f>
        <v>535.03079327144042</v>
      </c>
      <c r="Q47" s="280">
        <f>(C47/SUM('Population Figures'!H7:J7))*1000</f>
        <v>2.9965989521095686</v>
      </c>
      <c r="R47" s="425">
        <f>(D47/'Population Figures'!H7)*1000</f>
        <v>5.5814362309923533</v>
      </c>
      <c r="S47" s="425">
        <f>(E47/'Population Figures'!H7)*1000</f>
        <v>525.2702821481937</v>
      </c>
      <c r="T47" s="280">
        <f>(F47/'Population Figures'!J7)*1000</f>
        <v>1529.0476654644701</v>
      </c>
      <c r="U47" s="425">
        <f>(G47/'Population Figures'!I7)*1000</f>
        <v>44.583167984370711</v>
      </c>
      <c r="V47" s="425">
        <f>(H47/'Population Figures'!I7)*1000</f>
        <v>123.96593302603864</v>
      </c>
      <c r="W47" s="425">
        <f>(I47/'Population Figures'!I7)*1000</f>
        <v>26.343905491620625</v>
      </c>
      <c r="X47" s="500">
        <f>(J47/'Population Figures'!I7)*1000</f>
        <v>4.2888977075002295</v>
      </c>
      <c r="Y47" s="186">
        <f>(K47/'Population Figures'!I7)*1000</f>
        <v>7.6314905827406215E-2</v>
      </c>
      <c r="Z47" s="186">
        <f>(L47/'Population Figures'!I7)*1000</f>
        <v>0</v>
      </c>
      <c r="AA47" s="501">
        <f>(M47/'Population Figures'!I7)*1000</f>
        <v>20.956073140205746</v>
      </c>
    </row>
    <row r="48" spans="1:27">
      <c r="A48" s="7" t="s">
        <v>34</v>
      </c>
      <c r="B48" s="425">
        <v>43930</v>
      </c>
      <c r="C48" s="280">
        <v>926</v>
      </c>
      <c r="D48" s="425">
        <v>57</v>
      </c>
      <c r="E48" s="425">
        <v>8751</v>
      </c>
      <c r="F48" s="280">
        <v>22919</v>
      </c>
      <c r="G48" s="425">
        <v>876</v>
      </c>
      <c r="H48" s="425">
        <v>8552</v>
      </c>
      <c r="I48" s="425">
        <v>1689</v>
      </c>
      <c r="J48" s="425">
        <v>196</v>
      </c>
      <c r="K48" s="280">
        <v>0</v>
      </c>
      <c r="L48" s="280">
        <v>0</v>
      </c>
      <c r="M48" s="280">
        <v>-36</v>
      </c>
      <c r="N48" s="233"/>
      <c r="O48" s="7" t="s">
        <v>34</v>
      </c>
      <c r="P48" s="425">
        <f>(B48*1000)/SUM('Population Figures'!$H8:$J8)</f>
        <v>483.43787828766369</v>
      </c>
      <c r="Q48" s="280">
        <f>(C48/SUM('Population Figures'!H8:J8))*1000</f>
        <v>10.190381864201607</v>
      </c>
      <c r="R48" s="425">
        <f>(D48/'Population Figures'!H8)*1000</f>
        <v>3.0990050562714075</v>
      </c>
      <c r="S48" s="425">
        <f>(E48/'Population Figures'!H8)*1000</f>
        <v>475.77882890229978</v>
      </c>
      <c r="T48" s="280">
        <f>(F48/'Population Figures'!J8)*1000</f>
        <v>1276.824512534819</v>
      </c>
      <c r="U48" s="425">
        <f>(G48/'Population Figures'!I8)*1000</f>
        <v>16.065435472334805</v>
      </c>
      <c r="V48" s="425">
        <f>(H48/'Population Figures'!I8)*1000</f>
        <v>156.83973077557908</v>
      </c>
      <c r="W48" s="425">
        <f>(I48/'Population Figures'!I8)*1000</f>
        <v>30.975480037412659</v>
      </c>
      <c r="X48" s="500">
        <f>(J48/'Population Figures'!I8)*1000</f>
        <v>3.5945494892438608</v>
      </c>
      <c r="Y48" s="186">
        <f>(K48/'Population Figures'!I8)*1000</f>
        <v>0</v>
      </c>
      <c r="Z48" s="186">
        <f>(L48/'Population Figures'!I8)*1000</f>
        <v>0</v>
      </c>
      <c r="AA48" s="501">
        <f>(M48/'Population Figures'!I8)*1000</f>
        <v>-0.66022337557540312</v>
      </c>
    </row>
    <row r="49" spans="1:27">
      <c r="A49" s="7" t="s">
        <v>35</v>
      </c>
      <c r="B49" s="425">
        <v>25064</v>
      </c>
      <c r="C49" s="280">
        <v>523</v>
      </c>
      <c r="D49" s="425">
        <v>15</v>
      </c>
      <c r="E49" s="425">
        <v>4886</v>
      </c>
      <c r="F49" s="280">
        <v>11707</v>
      </c>
      <c r="G49" s="425">
        <v>2268</v>
      </c>
      <c r="H49" s="425">
        <v>3092</v>
      </c>
      <c r="I49" s="425">
        <v>1404</v>
      </c>
      <c r="J49" s="425">
        <v>58</v>
      </c>
      <c r="K49" s="280">
        <v>0</v>
      </c>
      <c r="L49" s="280">
        <v>0</v>
      </c>
      <c r="M49" s="280">
        <v>1111</v>
      </c>
      <c r="N49" s="233"/>
      <c r="O49" s="7" t="s">
        <v>35</v>
      </c>
      <c r="P49" s="425">
        <f>(B49*1000)/SUM('Population Figures'!$H9:$J9)</f>
        <v>515.40201521694428</v>
      </c>
      <c r="Q49" s="280">
        <f>(C49/SUM('Population Figures'!H9:J9))*1000</f>
        <v>10.754678182192063</v>
      </c>
      <c r="R49" s="425">
        <f>(D49/'Population Figures'!H9)*1000</f>
        <v>1.3867061107515946</v>
      </c>
      <c r="S49" s="425">
        <f>(E49/'Population Figures'!H9)*1000</f>
        <v>451.69640380881941</v>
      </c>
      <c r="T49" s="280">
        <f>(F49/'Population Figures'!J9)*1000</f>
        <v>1586.0994445197127</v>
      </c>
      <c r="U49" s="425">
        <f>(G49/'Population Figures'!I9)*1000</f>
        <v>74.526813880126184</v>
      </c>
      <c r="V49" s="425">
        <f>(H49/'Population Figures'!I9)*1000</f>
        <v>101.60357518401683</v>
      </c>
      <c r="W49" s="425">
        <f>(I49/'Population Figures'!I9)*1000</f>
        <v>46.135646687697161</v>
      </c>
      <c r="X49" s="500">
        <f>(J49/'Population Figures'!I9)*1000</f>
        <v>1.9058885383806521</v>
      </c>
      <c r="Y49" s="186">
        <f>(K49/'Population Figures'!I9)*1000</f>
        <v>0</v>
      </c>
      <c r="Z49" s="186">
        <f>(L49/'Population Figures'!I9)*1000</f>
        <v>0</v>
      </c>
      <c r="AA49" s="501">
        <f>(M49/'Population Figures'!I9)*1000</f>
        <v>36.507623554153525</v>
      </c>
    </row>
    <row r="50" spans="1:27">
      <c r="A50" s="7" t="s">
        <v>36</v>
      </c>
      <c r="B50" s="425">
        <v>80232</v>
      </c>
      <c r="C50" s="280">
        <v>900</v>
      </c>
      <c r="D50" s="425">
        <v>109</v>
      </c>
      <c r="E50" s="425">
        <v>15466</v>
      </c>
      <c r="F50" s="280">
        <v>39781</v>
      </c>
      <c r="G50" s="425">
        <v>6178</v>
      </c>
      <c r="H50" s="425">
        <v>11674</v>
      </c>
      <c r="I50" s="425">
        <v>3114</v>
      </c>
      <c r="J50" s="425">
        <v>468</v>
      </c>
      <c r="K50" s="280">
        <v>0</v>
      </c>
      <c r="L50" s="280">
        <v>1</v>
      </c>
      <c r="M50" s="280">
        <v>2541</v>
      </c>
      <c r="N50" s="233"/>
      <c r="O50" s="7" t="s">
        <v>36</v>
      </c>
      <c r="P50" s="425">
        <f>(B50*1000)/SUM('Population Figures'!$H10:$J10)</f>
        <v>540.8655790750978</v>
      </c>
      <c r="Q50" s="280">
        <f>(C50/SUM('Population Figures'!H10:J10))*1000</f>
        <v>6.0671430497505732</v>
      </c>
      <c r="R50" s="425">
        <f>(D50/'Population Figures'!H10)*1000</f>
        <v>3.6611581351605538</v>
      </c>
      <c r="S50" s="425">
        <f>(E50/'Population Figures'!H10)*1000</f>
        <v>519.48139191186351</v>
      </c>
      <c r="T50" s="280">
        <f>(F50/'Population Figures'!J10)*1000</f>
        <v>1313.0776340110906</v>
      </c>
      <c r="U50" s="425">
        <f>(G50/'Population Figures'!I10)*1000</f>
        <v>69.988218234547759</v>
      </c>
      <c r="V50" s="425">
        <f>(H50/'Population Figures'!I10)*1000</f>
        <v>132.25031720137756</v>
      </c>
      <c r="W50" s="425">
        <f>(I50/'Population Figures'!I10)*1000</f>
        <v>35.277324632952691</v>
      </c>
      <c r="X50" s="500">
        <f>(J50/'Population Figures'!I10)*1000</f>
        <v>5.3017944535073411</v>
      </c>
      <c r="Y50" s="186">
        <f>(K50/'Population Figures'!I10)*1000</f>
        <v>0</v>
      </c>
      <c r="Z50" s="186">
        <f>(L50/'Population Figures'!I10)*1000</f>
        <v>1.1328620627152439E-2</v>
      </c>
      <c r="AA50" s="501">
        <f>(M50/'Population Figures'!I10)*1000</f>
        <v>28.786025013594344</v>
      </c>
    </row>
    <row r="51" spans="1:27">
      <c r="A51" s="7" t="s">
        <v>37</v>
      </c>
      <c r="B51" s="425">
        <v>86894</v>
      </c>
      <c r="C51" s="280">
        <v>764</v>
      </c>
      <c r="D51" s="425">
        <v>170</v>
      </c>
      <c r="E51" s="425">
        <v>23094</v>
      </c>
      <c r="F51" s="280">
        <v>37592</v>
      </c>
      <c r="G51" s="425">
        <v>6267</v>
      </c>
      <c r="H51" s="425">
        <v>10814</v>
      </c>
      <c r="I51" s="425">
        <v>2847</v>
      </c>
      <c r="J51" s="425">
        <v>549</v>
      </c>
      <c r="K51" s="280">
        <v>214</v>
      </c>
      <c r="L51" s="280">
        <v>0</v>
      </c>
      <c r="M51" s="280">
        <v>4583</v>
      </c>
      <c r="N51" s="233"/>
      <c r="O51" s="7" t="s">
        <v>37</v>
      </c>
      <c r="P51" s="425">
        <f>(B51*1000)/SUM('Population Figures'!$H11:$J11)</f>
        <v>610.3821298117449</v>
      </c>
      <c r="Q51" s="280">
        <f>(C51/SUM('Population Figures'!H11:J11))*1000</f>
        <v>5.3666760325934248</v>
      </c>
      <c r="R51" s="425">
        <f>(D51/'Population Figures'!H11)*1000</f>
        <v>6.1362980075079419</v>
      </c>
      <c r="S51" s="425">
        <f>(E51/'Population Figures'!H11)*1000</f>
        <v>833.59803638463757</v>
      </c>
      <c r="T51" s="280">
        <f>(F51/'Population Figures'!J11)*1000</f>
        <v>1465.0038971161341</v>
      </c>
      <c r="U51" s="425">
        <f>(G51/'Population Figures'!I11)*1000</f>
        <v>70.418895231246353</v>
      </c>
      <c r="V51" s="425">
        <f>(H51/'Population Figures'!I11)*1000</f>
        <v>121.51107914962469</v>
      </c>
      <c r="W51" s="425">
        <f>(I51/'Population Figures'!I11)*1000</f>
        <v>31.990201806822778</v>
      </c>
      <c r="X51" s="500">
        <f>(J51/'Population Figures'!I11)*1000</f>
        <v>6.1688165760258888</v>
      </c>
      <c r="Y51" s="186">
        <f>(K51/'Population Figures'!I11)*1000</f>
        <v>2.4046024540428785</v>
      </c>
      <c r="Z51" s="186">
        <f>(L51/'Population Figures'!I11)*1000</f>
        <v>0</v>
      </c>
      <c r="AA51" s="501">
        <f>(M51/'Population Figures'!I11)*1000</f>
        <v>51.496696480740702</v>
      </c>
    </row>
    <row r="52" spans="1:27">
      <c r="A52" s="7" t="s">
        <v>38</v>
      </c>
      <c r="B52" s="425">
        <v>61972</v>
      </c>
      <c r="C52" s="280">
        <v>445</v>
      </c>
      <c r="D52" s="425">
        <v>109</v>
      </c>
      <c r="E52" s="425">
        <v>12154</v>
      </c>
      <c r="F52" s="280">
        <v>30306</v>
      </c>
      <c r="G52" s="425">
        <v>3185</v>
      </c>
      <c r="H52" s="425">
        <v>10997</v>
      </c>
      <c r="I52" s="425">
        <v>2333</v>
      </c>
      <c r="J52" s="425">
        <v>139</v>
      </c>
      <c r="K52" s="280">
        <v>0</v>
      </c>
      <c r="L52" s="280">
        <v>0</v>
      </c>
      <c r="M52" s="280">
        <v>2304</v>
      </c>
      <c r="N52" s="233"/>
      <c r="O52" s="7" t="s">
        <v>38</v>
      </c>
      <c r="P52" s="425">
        <f>(B52*1000)/SUM('Population Figures'!$H12:$J12)</f>
        <v>519.02847571189284</v>
      </c>
      <c r="Q52" s="280">
        <f>(C52/SUM('Population Figures'!H12:J12))*1000</f>
        <v>3.7269681742043552</v>
      </c>
      <c r="R52" s="425">
        <f>(D52/'Population Figures'!H12)*1000</f>
        <v>4.2430612324341155</v>
      </c>
      <c r="S52" s="425">
        <f>(E52/'Population Figures'!H12)*1000</f>
        <v>473.12079100003893</v>
      </c>
      <c r="T52" s="280">
        <f>(F52/'Population Figures'!J12)*1000</f>
        <v>1529.9106466757535</v>
      </c>
      <c r="U52" s="425">
        <f>(G52/'Population Figures'!I12)*1000</f>
        <v>43.097615761413763</v>
      </c>
      <c r="V52" s="425">
        <f>(H52/'Population Figures'!I12)*1000</f>
        <v>148.80517442017808</v>
      </c>
      <c r="W52" s="425">
        <f>(I52/'Population Figures'!I12)*1000</f>
        <v>31.568834402316579</v>
      </c>
      <c r="X52" s="500">
        <f>(J52/'Population Figures'!I12)*1000</f>
        <v>1.880869259289329</v>
      </c>
      <c r="Y52" s="186">
        <f>(K52/'Population Figures'!I12)*1000</f>
        <v>0</v>
      </c>
      <c r="Z52" s="186">
        <f>(L52/'Population Figures'!I12)*1000</f>
        <v>0</v>
      </c>
      <c r="AA52" s="501">
        <f>(M52/'Population Figures'!I12)*1000</f>
        <v>31.176422830234635</v>
      </c>
    </row>
    <row r="53" spans="1:27">
      <c r="A53" s="7" t="s">
        <v>39</v>
      </c>
      <c r="B53" s="425">
        <v>40521</v>
      </c>
      <c r="C53" s="280">
        <v>970</v>
      </c>
      <c r="D53" s="425">
        <v>5</v>
      </c>
      <c r="E53" s="425">
        <v>7539</v>
      </c>
      <c r="F53" s="280">
        <v>17421</v>
      </c>
      <c r="G53" s="425">
        <v>2697</v>
      </c>
      <c r="H53" s="425">
        <v>8895</v>
      </c>
      <c r="I53" s="425">
        <v>2512</v>
      </c>
      <c r="J53" s="425">
        <v>394</v>
      </c>
      <c r="K53" s="280">
        <v>0</v>
      </c>
      <c r="L53" s="280">
        <v>0</v>
      </c>
      <c r="M53" s="280">
        <v>88</v>
      </c>
      <c r="N53" s="233"/>
      <c r="O53" s="7" t="s">
        <v>39</v>
      </c>
      <c r="P53" s="425">
        <f>(B53*1000)/SUM('Population Figures'!$H13:$J13)</f>
        <v>382.41789354473389</v>
      </c>
      <c r="Q53" s="280">
        <f>(C53/SUM('Population Figures'!H13:J13))*1000</f>
        <v>9.1543978859947153</v>
      </c>
      <c r="R53" s="425">
        <f>(D53/'Population Figures'!H13)*1000</f>
        <v>0.21507226428079834</v>
      </c>
      <c r="S53" s="425">
        <f>(E53/'Population Figures'!H13)*1000</f>
        <v>324.28596008258774</v>
      </c>
      <c r="T53" s="280">
        <f>(F53/'Population Figures'!J13)*1000</f>
        <v>951.86318435143698</v>
      </c>
      <c r="U53" s="425">
        <f>(G53/'Population Figures'!I13)*1000</f>
        <v>41.872380065207267</v>
      </c>
      <c r="V53" s="425">
        <f>(H53/'Population Figures'!I13)*1000</f>
        <v>138.09967396367023</v>
      </c>
      <c r="W53" s="425">
        <f>(I53/'Population Figures'!I13)*1000</f>
        <v>39.000155255395121</v>
      </c>
      <c r="X53" s="500">
        <f>(J53/'Population Figures'!I13)*1000</f>
        <v>6.1170625679242354</v>
      </c>
      <c r="Y53" s="186">
        <f>(K53/'Population Figures'!I13)*1000</f>
        <v>0</v>
      </c>
      <c r="Z53" s="186">
        <f>(L53/'Population Figures'!I13)*1000</f>
        <v>0</v>
      </c>
      <c r="AA53" s="501">
        <f>(M53/'Population Figures'!I13)*1000</f>
        <v>1.3662474770998292</v>
      </c>
    </row>
    <row r="54" spans="1:27">
      <c r="A54" s="7" t="s">
        <v>40</v>
      </c>
      <c r="B54" s="425">
        <v>55023</v>
      </c>
      <c r="C54" s="280">
        <v>399</v>
      </c>
      <c r="D54" s="425">
        <v>70</v>
      </c>
      <c r="E54" s="425">
        <v>12141</v>
      </c>
      <c r="F54" s="280">
        <v>23096</v>
      </c>
      <c r="G54" s="425">
        <v>3473</v>
      </c>
      <c r="H54" s="425">
        <v>12040</v>
      </c>
      <c r="I54" s="425">
        <v>1967</v>
      </c>
      <c r="J54" s="425">
        <v>670</v>
      </c>
      <c r="K54" s="280">
        <v>0</v>
      </c>
      <c r="L54" s="280">
        <v>0</v>
      </c>
      <c r="M54" s="280">
        <v>1167</v>
      </c>
      <c r="N54" s="233"/>
      <c r="O54" s="7" t="s">
        <v>40</v>
      </c>
      <c r="P54" s="425">
        <f>(B54*1000)/SUM('Population Figures'!$H14:$J14)</f>
        <v>599.3790849673203</v>
      </c>
      <c r="Q54" s="280">
        <f>(C54/SUM('Population Figures'!H14:J14))*1000</f>
        <v>4.3464052287581696</v>
      </c>
      <c r="R54" s="425">
        <f>(D54/'Population Figures'!H14)*1000</f>
        <v>3.3788675966597479</v>
      </c>
      <c r="S54" s="425">
        <f>(E54/'Population Figures'!H14)*1000</f>
        <v>586.04044987208567</v>
      </c>
      <c r="T54" s="280">
        <f>(F54/'Population Figures'!J14)*1000</f>
        <v>1424.8874082299956</v>
      </c>
      <c r="U54" s="425">
        <f>(G54/'Population Figures'!I14)*1000</f>
        <v>63.290447206327222</v>
      </c>
      <c r="V54" s="425">
        <f>(H54/'Population Figures'!I14)*1000</f>
        <v>219.41174326639211</v>
      </c>
      <c r="W54" s="425">
        <f>(I54/'Population Figures'!I14)*1000</f>
        <v>35.845755731311733</v>
      </c>
      <c r="X54" s="500">
        <f>(J54/'Population Figures'!I14)*1000</f>
        <v>12.209789700040092</v>
      </c>
      <c r="Y54" s="186">
        <f>(K54/'Population Figures'!I14)*1000</f>
        <v>0</v>
      </c>
      <c r="Z54" s="186">
        <f>(L54/'Population Figures'!I14)*1000</f>
        <v>0</v>
      </c>
      <c r="AA54" s="501">
        <f>(M54/'Population Figures'!I14)*1000</f>
        <v>21.266902358129535</v>
      </c>
    </row>
    <row r="55" spans="1:27">
      <c r="A55" s="7" t="s">
        <v>41</v>
      </c>
      <c r="B55" s="425">
        <v>36913</v>
      </c>
      <c r="C55" s="280">
        <v>1579</v>
      </c>
      <c r="D55" s="425">
        <v>0</v>
      </c>
      <c r="E55" s="425">
        <v>4413</v>
      </c>
      <c r="F55" s="280">
        <v>15206</v>
      </c>
      <c r="G55" s="425">
        <v>5716</v>
      </c>
      <c r="H55" s="425">
        <v>7038</v>
      </c>
      <c r="I55" s="425">
        <v>714</v>
      </c>
      <c r="J55" s="425">
        <v>378</v>
      </c>
      <c r="K55" s="280">
        <v>0</v>
      </c>
      <c r="L55" s="280">
        <v>7</v>
      </c>
      <c r="M55" s="280">
        <v>1862</v>
      </c>
      <c r="N55" s="233"/>
      <c r="O55" s="7" t="s">
        <v>41</v>
      </c>
      <c r="P55" s="425">
        <f>(B55*1000)/SUM('Population Figures'!$H15:$J15)</f>
        <v>411.97544642857144</v>
      </c>
      <c r="Q55" s="280">
        <f>(C55/SUM('Population Figures'!H15:J15))*1000</f>
        <v>17.622767857142858</v>
      </c>
      <c r="R55" s="425">
        <f>(D55/'Population Figures'!H15)*1000</f>
        <v>0</v>
      </c>
      <c r="S55" s="425">
        <f>(E55/'Population Figures'!H15)*1000</f>
        <v>209.82312666413085</v>
      </c>
      <c r="T55" s="280">
        <f>(F55/'Population Figures'!J15)*1000</f>
        <v>1014.4772833411168</v>
      </c>
      <c r="U55" s="425">
        <f>(G55/'Population Figures'!I15)*1000</f>
        <v>106.68358871946099</v>
      </c>
      <c r="V55" s="425">
        <f>(H55/'Population Figures'!I15)*1000</f>
        <v>131.35743481587937</v>
      </c>
      <c r="W55" s="425">
        <f>(I55/'Population Figures'!I15)*1000</f>
        <v>13.326116575523992</v>
      </c>
      <c r="X55" s="500">
        <f>(J55/'Population Figures'!I15)*1000</f>
        <v>7.0550028929244668</v>
      </c>
      <c r="Y55" s="186">
        <f>(K55/'Population Figures'!I15)*1000</f>
        <v>0</v>
      </c>
      <c r="Z55" s="186">
        <f>(L55/'Population Figures'!I15)*1000</f>
        <v>0.13064820172082345</v>
      </c>
      <c r="AA55" s="501">
        <f>(M55/'Population Figures'!I15)*1000</f>
        <v>34.752421657739042</v>
      </c>
    </row>
    <row r="56" spans="1:27">
      <c r="A56" s="7" t="s">
        <v>140</v>
      </c>
      <c r="B56" s="425">
        <v>263672</v>
      </c>
      <c r="C56" s="280">
        <v>2263</v>
      </c>
      <c r="D56" s="425">
        <v>187</v>
      </c>
      <c r="E56" s="425">
        <v>57723</v>
      </c>
      <c r="F56" s="280">
        <v>112559</v>
      </c>
      <c r="G56" s="425">
        <v>18683</v>
      </c>
      <c r="H56" s="425">
        <v>40443</v>
      </c>
      <c r="I56" s="425">
        <v>11667</v>
      </c>
      <c r="J56" s="425">
        <v>3640</v>
      </c>
      <c r="K56" s="280">
        <v>1871</v>
      </c>
      <c r="L56" s="280">
        <v>565</v>
      </c>
      <c r="M56" s="280">
        <v>14071</v>
      </c>
      <c r="N56" s="233"/>
      <c r="O56" s="7" t="s">
        <v>140</v>
      </c>
      <c r="P56" s="425">
        <f>(B56*1000)/SUM('Population Figures'!$H16:$J16)</f>
        <v>575.91682502238825</v>
      </c>
      <c r="Q56" s="280">
        <f>(C56/SUM('Population Figures'!H16:J16))*1000</f>
        <v>4.9428827293973754</v>
      </c>
      <c r="R56" s="425">
        <f>(D56/'Population Figures'!H16)*1000</f>
        <v>2.3213088706273743</v>
      </c>
      <c r="S56" s="425">
        <f>(E56/'Population Figures'!H16)*1000</f>
        <v>716.53963603863053</v>
      </c>
      <c r="T56" s="280">
        <f>(F56/'Population Figures'!J16)*1000</f>
        <v>1639.6783544801667</v>
      </c>
      <c r="U56" s="425">
        <f>(G56/'Population Figures'!I16)*1000</f>
        <v>60.536249493722153</v>
      </c>
      <c r="V56" s="425">
        <f>(H56/'Population Figures'!I16)*1000</f>
        <v>131.04252733900364</v>
      </c>
      <c r="W56" s="425">
        <f>(I56/'Population Figures'!I16)*1000</f>
        <v>37.803159173754558</v>
      </c>
      <c r="X56" s="500">
        <f>(J56/'Population Figures'!I16)*1000</f>
        <v>11.794248683677603</v>
      </c>
      <c r="Y56" s="186">
        <f>(K56/'Population Figures'!I16)*1000</f>
        <v>6.0623734305386794</v>
      </c>
      <c r="Z56" s="186">
        <f>(L56/'Population Figures'!I16)*1000</f>
        <v>1.8307006885378696</v>
      </c>
      <c r="AA56" s="501">
        <f>(M56/'Population Figures'!I16)*1000</f>
        <v>45.592547590117462</v>
      </c>
    </row>
    <row r="57" spans="1:27">
      <c r="A57" s="7" t="s">
        <v>42</v>
      </c>
      <c r="B57" s="425">
        <v>21780</v>
      </c>
      <c r="C57" s="280">
        <v>425</v>
      </c>
      <c r="D57" s="425">
        <v>50</v>
      </c>
      <c r="E57" s="425">
        <v>2288</v>
      </c>
      <c r="F57" s="280">
        <v>14194</v>
      </c>
      <c r="G57" s="425">
        <v>1148</v>
      </c>
      <c r="H57" s="425">
        <v>2472</v>
      </c>
      <c r="I57" s="425">
        <v>844</v>
      </c>
      <c r="J57" s="425">
        <v>123</v>
      </c>
      <c r="K57" s="280">
        <v>0</v>
      </c>
      <c r="L57" s="280">
        <v>0</v>
      </c>
      <c r="M57" s="280">
        <v>236</v>
      </c>
      <c r="N57" s="233"/>
      <c r="O57" s="7" t="s">
        <v>42</v>
      </c>
      <c r="P57" s="425">
        <f>(B57*1000)/SUM('Population Figures'!$H17:$J17)</f>
        <v>825.93856655290108</v>
      </c>
      <c r="Q57" s="280">
        <f>(C57/SUM('Population Figures'!H17:J17))*1000</f>
        <v>16.116799393249906</v>
      </c>
      <c r="R57" s="425">
        <f>(D57/'Population Figures'!H17)*1000</f>
        <v>9.1541559868180151</v>
      </c>
      <c r="S57" s="425">
        <f>(E57/'Population Figures'!H17)*1000</f>
        <v>418.89417795679242</v>
      </c>
      <c r="T57" s="280">
        <f>(F57/'Population Figures'!J17)*1000</f>
        <v>2653.0841121495328</v>
      </c>
      <c r="U57" s="425">
        <f>(G57/'Population Figures'!I17)*1000</f>
        <v>73.788404679264687</v>
      </c>
      <c r="V57" s="425">
        <f>(H57/'Population Figures'!I17)*1000</f>
        <v>158.8893173929811</v>
      </c>
      <c r="W57" s="425">
        <f>(I57/'Population Figures'!I17)*1000</f>
        <v>54.248618074302613</v>
      </c>
      <c r="X57" s="500">
        <f>(J57/'Population Figures'!I17)*1000</f>
        <v>7.9059005013497883</v>
      </c>
      <c r="Y57" s="186">
        <f>(K57/'Population Figures'!I17)*1000</f>
        <v>0</v>
      </c>
      <c r="Z57" s="186">
        <f>(L57/'Population Figures'!I17)*1000</f>
        <v>0</v>
      </c>
      <c r="AA57" s="501">
        <f>(M57/'Population Figures'!I17)*1000</f>
        <v>15.169044864378456</v>
      </c>
    </row>
    <row r="58" spans="1:27">
      <c r="A58" s="7" t="s">
        <v>43</v>
      </c>
      <c r="B58" s="425">
        <v>75298</v>
      </c>
      <c r="C58" s="280">
        <v>232</v>
      </c>
      <c r="D58" s="425">
        <v>61</v>
      </c>
      <c r="E58" s="425">
        <v>18246</v>
      </c>
      <c r="F58" s="280">
        <v>34698</v>
      </c>
      <c r="G58" s="425">
        <v>5627</v>
      </c>
      <c r="H58" s="425">
        <v>10711</v>
      </c>
      <c r="I58" s="425">
        <v>3250</v>
      </c>
      <c r="J58" s="425">
        <v>342</v>
      </c>
      <c r="K58" s="280">
        <v>1</v>
      </c>
      <c r="L58" s="280">
        <v>0</v>
      </c>
      <c r="M58" s="280">
        <v>2130</v>
      </c>
      <c r="N58" s="233"/>
      <c r="O58" s="7" t="s">
        <v>43</v>
      </c>
      <c r="P58" s="425">
        <f>(B58*1000)/SUM('Population Figures'!$H18:$J18)</f>
        <v>504.8474689909487</v>
      </c>
      <c r="Q58" s="280">
        <f>(C58/SUM('Population Figures'!H18:J18))*1000</f>
        <v>1.5554810593362387</v>
      </c>
      <c r="R58" s="425">
        <f>(D58/'Population Figures'!H18)*1000</f>
        <v>1.8985371926548396</v>
      </c>
      <c r="S58" s="425">
        <f>(E58/'Population Figures'!H18)*1000</f>
        <v>567.88048552754435</v>
      </c>
      <c r="T58" s="280">
        <f>(F58/'Population Figures'!J18)*1000</f>
        <v>1483.2008207232623</v>
      </c>
      <c r="U58" s="425">
        <f>(G58/'Population Figures'!I18)*1000</f>
        <v>60.100826693439856</v>
      </c>
      <c r="V58" s="425">
        <f>(H58/'Population Figures'!I18)*1000</f>
        <v>114.40198235532866</v>
      </c>
      <c r="W58" s="425">
        <f>(I58/'Population Figures'!I18)*1000</f>
        <v>34.712579838933628</v>
      </c>
      <c r="X58" s="500">
        <f>(J58/'Population Figures'!I18)*1000</f>
        <v>3.6528314784354774</v>
      </c>
      <c r="Y58" s="186">
        <f>(K58/'Population Figures'!I18)*1000</f>
        <v>1.0680793796594963E-2</v>
      </c>
      <c r="Z58" s="186">
        <f>(L58/'Population Figures'!I18)*1000</f>
        <v>0</v>
      </c>
      <c r="AA58" s="501">
        <f>(M58/'Population Figures'!I18)*1000</f>
        <v>22.750090786747272</v>
      </c>
    </row>
    <row r="59" spans="1:27">
      <c r="A59" s="7" t="s">
        <v>44</v>
      </c>
      <c r="B59" s="425">
        <v>170099</v>
      </c>
      <c r="C59" s="280">
        <v>739</v>
      </c>
      <c r="D59" s="425">
        <v>175</v>
      </c>
      <c r="E59" s="425">
        <v>30959</v>
      </c>
      <c r="F59" s="280">
        <v>81189</v>
      </c>
      <c r="G59" s="425">
        <v>15917</v>
      </c>
      <c r="H59" s="425">
        <v>27758</v>
      </c>
      <c r="I59" s="425">
        <v>6015</v>
      </c>
      <c r="J59" s="425">
        <v>1106</v>
      </c>
      <c r="K59" s="280">
        <v>90</v>
      </c>
      <c r="L59" s="280">
        <v>0</v>
      </c>
      <c r="M59" s="280">
        <v>6151</v>
      </c>
      <c r="N59" s="233"/>
      <c r="O59" s="7" t="s">
        <v>44</v>
      </c>
      <c r="P59" s="425">
        <f>(B59*1000)/SUM('Population Figures'!$H19:$J19)</f>
        <v>476.81504737343721</v>
      </c>
      <c r="Q59" s="280">
        <f>(C59/SUM('Population Figures'!H19:J19))*1000</f>
        <v>2.071536693390144</v>
      </c>
      <c r="R59" s="425">
        <f>(D59/'Population Figures'!H19)*1000</f>
        <v>2.3146311139327564</v>
      </c>
      <c r="S59" s="425">
        <f>(E59/'Population Figures'!H19)*1000</f>
        <v>409.47808374996691</v>
      </c>
      <c r="T59" s="280">
        <f>(F59/'Population Figures'!J19)*1000</f>
        <v>1370.7874653879921</v>
      </c>
      <c r="U59" s="425">
        <f>(G59/'Population Figures'!I19)*1000</f>
        <v>71.728569754761025</v>
      </c>
      <c r="V59" s="425">
        <f>(H59/'Population Figures'!I19)*1000</f>
        <v>125.08900164934703</v>
      </c>
      <c r="W59" s="425">
        <f>(I59/'Population Figures'!I19)*1000</f>
        <v>27.106071940371148</v>
      </c>
      <c r="X59" s="500">
        <f>(J59/'Population Figures'!I19)*1000</f>
        <v>4.9840923634331658</v>
      </c>
      <c r="Y59" s="186">
        <f>(K59/'Population Figures'!I19)*1000</f>
        <v>0.40557713626490499</v>
      </c>
      <c r="Z59" s="186">
        <f>(L59/'Population Figures'!I19)*1000</f>
        <v>0</v>
      </c>
      <c r="AA59" s="501">
        <f>(M59/'Population Figures'!I19)*1000</f>
        <v>27.718944057393671</v>
      </c>
    </row>
    <row r="60" spans="1:27">
      <c r="A60" s="7" t="s">
        <v>45</v>
      </c>
      <c r="B60" s="425">
        <v>438425</v>
      </c>
      <c r="C60" s="280">
        <v>2014</v>
      </c>
      <c r="D60" s="425">
        <v>307</v>
      </c>
      <c r="E60" s="425">
        <v>118474</v>
      </c>
      <c r="F60" s="280">
        <v>141390</v>
      </c>
      <c r="G60" s="425">
        <v>34086</v>
      </c>
      <c r="H60" s="425">
        <v>66908</v>
      </c>
      <c r="I60" s="425">
        <v>46007</v>
      </c>
      <c r="J60" s="425">
        <v>11863</v>
      </c>
      <c r="K60" s="280">
        <v>2</v>
      </c>
      <c r="L60" s="280">
        <v>1861</v>
      </c>
      <c r="M60" s="280">
        <v>15513</v>
      </c>
      <c r="N60" s="233"/>
      <c r="O60" s="7" t="s">
        <v>45</v>
      </c>
      <c r="P60" s="425">
        <f>(B60*1000)/SUM('Population Figures'!$H20:$J20)</f>
        <v>757.4854437706249</v>
      </c>
      <c r="Q60" s="280">
        <f>(C60/SUM('Population Figures'!H20:J20))*1000</f>
        <v>3.479673111145666</v>
      </c>
      <c r="R60" s="425">
        <f>(D60/'Population Figures'!H20)*1000</f>
        <v>2.7226449564554178</v>
      </c>
      <c r="S60" s="425">
        <f>(E60/'Population Figures'!H20)*1000</f>
        <v>1050.6926337820819</v>
      </c>
      <c r="T60" s="280">
        <f>(F60/'Population Figures'!J20)*1000</f>
        <v>1648.8822027079034</v>
      </c>
      <c r="U60" s="425">
        <f>(G60/'Population Figures'!I20)*1000</f>
        <v>89.633246818816517</v>
      </c>
      <c r="V60" s="425">
        <f>(H60/'Population Figures'!I20)*1000</f>
        <v>175.9426532345648</v>
      </c>
      <c r="W60" s="425">
        <f>(I60/'Population Figures'!I20)*1000</f>
        <v>120.98095365819665</v>
      </c>
      <c r="X60" s="500">
        <f>(J60/'Population Figures'!I20)*1000</f>
        <v>31.195188846201383</v>
      </c>
      <c r="Y60" s="186">
        <f>(K60/'Population Figures'!I20)*1000</f>
        <v>5.2592411440953186E-3</v>
      </c>
      <c r="Z60" s="186">
        <f>(L60/'Population Figures'!I20)*1000</f>
        <v>4.8937238845806945</v>
      </c>
      <c r="AA60" s="501">
        <f>(M60/'Population Figures'!I20)*1000</f>
        <v>40.793303934175334</v>
      </c>
    </row>
    <row r="61" spans="1:27">
      <c r="A61" s="7" t="s">
        <v>46</v>
      </c>
      <c r="B61" s="425">
        <v>115960</v>
      </c>
      <c r="C61" s="280">
        <v>414</v>
      </c>
      <c r="D61" s="425">
        <v>120</v>
      </c>
      <c r="E61" s="425">
        <v>20099</v>
      </c>
      <c r="F61" s="280">
        <v>65328</v>
      </c>
      <c r="G61" s="425">
        <v>5486</v>
      </c>
      <c r="H61" s="425">
        <v>15040</v>
      </c>
      <c r="I61" s="425">
        <v>6566</v>
      </c>
      <c r="J61" s="425">
        <v>766</v>
      </c>
      <c r="K61" s="280">
        <v>0</v>
      </c>
      <c r="L61" s="280">
        <v>0</v>
      </c>
      <c r="M61" s="280">
        <v>2141</v>
      </c>
      <c r="N61" s="233"/>
      <c r="O61" s="7" t="s">
        <v>46</v>
      </c>
      <c r="P61" s="425">
        <f>(B61*1000)/SUM('Population Figures'!$H21:$J21)</f>
        <v>542.90931223371877</v>
      </c>
      <c r="Q61" s="280">
        <f>(C61/SUM('Population Figures'!H21:J21))*1000</f>
        <v>1.9382929912449085</v>
      </c>
      <c r="R61" s="425">
        <f>(D61/'Population Figures'!H21)*1000</f>
        <v>2.6722486972787602</v>
      </c>
      <c r="S61" s="425">
        <f>(E61/'Population Figures'!H21)*1000</f>
        <v>447.5793880550483</v>
      </c>
      <c r="T61" s="280">
        <f>(F61/'Population Figures'!J21)*1000</f>
        <v>1743.0096051227322</v>
      </c>
      <c r="U61" s="425">
        <f>(G61/'Population Figures'!I21)*1000</f>
        <v>41.81274961129234</v>
      </c>
      <c r="V61" s="425">
        <f>(H61/'Population Figures'!I21)*1000</f>
        <v>114.63065150452729</v>
      </c>
      <c r="W61" s="425">
        <f>(I61/'Population Figures'!I21)*1000</f>
        <v>50.0442059693302</v>
      </c>
      <c r="X61" s="500">
        <f>(J61/'Population Figures'!I21)*1000</f>
        <v>5.8382366391268556</v>
      </c>
      <c r="Y61" s="186">
        <f>(K61/'Population Figures'!I21)*1000</f>
        <v>0</v>
      </c>
      <c r="Z61" s="186">
        <f>(L61/'Population Figures'!I21)*1000</f>
        <v>0</v>
      </c>
      <c r="AA61" s="501">
        <f>(M61/'Population Figures'!I21)*1000</f>
        <v>16.318100057925061</v>
      </c>
    </row>
    <row r="62" spans="1:27">
      <c r="A62" s="7" t="s">
        <v>47</v>
      </c>
      <c r="B62" s="425">
        <v>51584</v>
      </c>
      <c r="C62" s="280">
        <v>980</v>
      </c>
      <c r="D62" s="425">
        <v>29</v>
      </c>
      <c r="E62" s="425">
        <v>12413</v>
      </c>
      <c r="F62" s="280">
        <v>23303</v>
      </c>
      <c r="G62" s="425">
        <v>3633</v>
      </c>
      <c r="H62" s="425">
        <v>6188</v>
      </c>
      <c r="I62" s="425">
        <v>2189</v>
      </c>
      <c r="J62" s="425">
        <v>911</v>
      </c>
      <c r="K62" s="280">
        <v>0</v>
      </c>
      <c r="L62" s="280">
        <v>0</v>
      </c>
      <c r="M62" s="280">
        <v>1938</v>
      </c>
      <c r="N62" s="233"/>
      <c r="O62" s="7" t="s">
        <v>47</v>
      </c>
      <c r="P62" s="425">
        <f>(B62*1000)/SUM('Population Figures'!$H22:$J22)</f>
        <v>628.07743820771952</v>
      </c>
      <c r="Q62" s="280">
        <f>(C62/SUM('Population Figures'!H22:J22))*1000</f>
        <v>11.932302447339584</v>
      </c>
      <c r="R62" s="425">
        <f>(D62/'Population Figures'!H22)*1000</f>
        <v>1.6765913164132509</v>
      </c>
      <c r="S62" s="425">
        <f>(E62/'Population Figures'!H22)*1000</f>
        <v>717.63889691854081</v>
      </c>
      <c r="T62" s="280">
        <f>(F62/'Population Figures'!J22)*1000</f>
        <v>1660.2308349957252</v>
      </c>
      <c r="U62" s="425">
        <f>(G62/'Population Figures'!I22)*1000</f>
        <v>71.519971651869199</v>
      </c>
      <c r="V62" s="425">
        <f>(H62/'Population Figures'!I22)*1000</f>
        <v>121.81821761127625</v>
      </c>
      <c r="W62" s="425">
        <f>(I62/'Population Figures'!I22)*1000</f>
        <v>43.09309604897927</v>
      </c>
      <c r="X62" s="500">
        <f>(J62/'Population Figures'!I22)*1000</f>
        <v>17.934129968305214</v>
      </c>
      <c r="Y62" s="186">
        <f>(K62/'Population Figures'!I22)*1000</f>
        <v>0</v>
      </c>
      <c r="Z62" s="186">
        <f>(L62/'Population Figures'!I22)*1000</f>
        <v>0</v>
      </c>
      <c r="AA62" s="501">
        <f>(M62/'Population Figures'!I22)*1000</f>
        <v>38.151859361773333</v>
      </c>
    </row>
    <row r="63" spans="1:27">
      <c r="A63" s="7" t="s">
        <v>48</v>
      </c>
      <c r="B63" s="425">
        <v>42889</v>
      </c>
      <c r="C63" s="280">
        <v>683</v>
      </c>
      <c r="D63" s="425">
        <v>48</v>
      </c>
      <c r="E63" s="425">
        <v>10339</v>
      </c>
      <c r="F63" s="280">
        <v>17802</v>
      </c>
      <c r="G63" s="425">
        <v>2616</v>
      </c>
      <c r="H63" s="425">
        <v>8542</v>
      </c>
      <c r="I63" s="425">
        <v>1483</v>
      </c>
      <c r="J63" s="425">
        <v>623</v>
      </c>
      <c r="K63" s="280">
        <v>0</v>
      </c>
      <c r="L63" s="280">
        <v>0</v>
      </c>
      <c r="M63" s="280">
        <v>753</v>
      </c>
      <c r="N63" s="233"/>
      <c r="O63" s="7" t="s">
        <v>48</v>
      </c>
      <c r="P63" s="425">
        <f>(B63*1000)/SUM('Population Figures'!$H23:$J23)</f>
        <v>541.59616113145603</v>
      </c>
      <c r="Q63" s="280">
        <f>(C63/SUM('Population Figures'!H23:J23))*1000</f>
        <v>8.6248263669655252</v>
      </c>
      <c r="R63" s="425">
        <f>(D63/'Population Figures'!H23)*1000</f>
        <v>2.6869682042095833</v>
      </c>
      <c r="S63" s="425">
        <f>(E63/'Population Figures'!H23)*1000</f>
        <v>578.76175548589333</v>
      </c>
      <c r="T63" s="280">
        <f>(F63/'Population Figures'!J23)*1000</f>
        <v>1419.1645408163265</v>
      </c>
      <c r="U63" s="425">
        <f>(G63/'Population Figures'!I23)*1000</f>
        <v>53.626337583534912</v>
      </c>
      <c r="V63" s="425">
        <f>(H63/'Population Figures'!I23)*1000</f>
        <v>175.10557172727644</v>
      </c>
      <c r="W63" s="425">
        <f>(I63/'Population Figures'!I23)*1000</f>
        <v>30.400557582714939</v>
      </c>
      <c r="X63" s="500">
        <f>(J63/'Population Figures'!I23)*1000</f>
        <v>12.77110409577303</v>
      </c>
      <c r="Y63" s="186">
        <f>(K63/'Population Figures'!I23)*1000</f>
        <v>0</v>
      </c>
      <c r="Z63" s="186">
        <f>(L63/'Population Figures'!I23)*1000</f>
        <v>0</v>
      </c>
      <c r="AA63" s="501">
        <f>(M63/'Population Figures'!I23)*1000</f>
        <v>15.436021483334017</v>
      </c>
    </row>
    <row r="64" spans="1:27">
      <c r="A64" s="7" t="s">
        <v>49</v>
      </c>
      <c r="B64" s="425">
        <v>40077</v>
      </c>
      <c r="C64" s="280">
        <v>89</v>
      </c>
      <c r="D64" s="425">
        <v>57</v>
      </c>
      <c r="E64" s="425">
        <v>8955</v>
      </c>
      <c r="F64" s="280">
        <v>18018</v>
      </c>
      <c r="G64" s="425">
        <v>3023</v>
      </c>
      <c r="H64" s="425">
        <v>7237</v>
      </c>
      <c r="I64" s="425">
        <v>1982</v>
      </c>
      <c r="J64" s="425">
        <v>229</v>
      </c>
      <c r="K64" s="280">
        <v>0</v>
      </c>
      <c r="L64" s="280">
        <v>0</v>
      </c>
      <c r="M64" s="280">
        <v>487</v>
      </c>
      <c r="N64" s="233"/>
      <c r="O64" s="7" t="s">
        <v>49</v>
      </c>
      <c r="P64" s="425">
        <f>(B64*1000)/SUM('Population Figures'!$H24:$J24)</f>
        <v>462.83635523732534</v>
      </c>
      <c r="Q64" s="280">
        <f>(C64/SUM('Population Figures'!H24:J24))*1000</f>
        <v>1.0278323132001386</v>
      </c>
      <c r="R64" s="425">
        <f>(D64/'Population Figures'!H24)*1000</f>
        <v>3.0674846625766872</v>
      </c>
      <c r="S64" s="425">
        <f>(E64/'Population Figures'!H24)*1000</f>
        <v>481.91798514691635</v>
      </c>
      <c r="T64" s="280">
        <f>(F64/'Population Figures'!J24)*1000</f>
        <v>1189.7781299524563</v>
      </c>
      <c r="U64" s="425">
        <f>(G64/'Population Figures'!I24)*1000</f>
        <v>57.184473365617428</v>
      </c>
      <c r="V64" s="425">
        <f>(H64/'Population Figures'!I24)*1000</f>
        <v>136.89845641646488</v>
      </c>
      <c r="W64" s="425">
        <f>(I64/'Population Figures'!I24)*1000</f>
        <v>37.492433414043582</v>
      </c>
      <c r="X64" s="500">
        <f>(J64/'Population Figures'!I24)*1000</f>
        <v>4.3318704600484264</v>
      </c>
      <c r="Y64" s="186">
        <f>(K64/'Population Figures'!I24)*1000</f>
        <v>0</v>
      </c>
      <c r="Z64" s="186">
        <f>(L64/'Population Figures'!I24)*1000</f>
        <v>0</v>
      </c>
      <c r="AA64" s="501">
        <f>(M64/'Population Figures'!I24)*1000</f>
        <v>9.212318401937047</v>
      </c>
    </row>
    <row r="65" spans="1:27">
      <c r="A65" s="7" t="s">
        <v>50</v>
      </c>
      <c r="B65" s="425">
        <v>68266</v>
      </c>
      <c r="C65" s="280">
        <v>1081</v>
      </c>
      <c r="D65" s="425">
        <v>222</v>
      </c>
      <c r="E65" s="425">
        <v>16420</v>
      </c>
      <c r="F65" s="280">
        <v>34425</v>
      </c>
      <c r="G65" s="425">
        <v>2471</v>
      </c>
      <c r="H65" s="425">
        <v>8010</v>
      </c>
      <c r="I65" s="425">
        <v>2117</v>
      </c>
      <c r="J65" s="425">
        <v>1388</v>
      </c>
      <c r="K65" s="280">
        <v>0</v>
      </c>
      <c r="L65" s="280">
        <v>0</v>
      </c>
      <c r="M65" s="280">
        <v>2132</v>
      </c>
      <c r="N65" s="233"/>
      <c r="O65" s="7" t="s">
        <v>50</v>
      </c>
      <c r="P65" s="425">
        <f>(B65*1000)/SUM('Population Figures'!$H25:$J25)</f>
        <v>502.58411249355811</v>
      </c>
      <c r="Q65" s="280">
        <f>(C65/SUM('Population Figures'!H25:J25))*1000</f>
        <v>7.9584775086505193</v>
      </c>
      <c r="R65" s="425">
        <f>(D65/'Population Figures'!H25)*1000</f>
        <v>7.5479396164830677</v>
      </c>
      <c r="S65" s="425">
        <f>(E65/'Population Figures'!H25)*1000</f>
        <v>558.27553379572953</v>
      </c>
      <c r="T65" s="280">
        <f>(F65/'Population Figures'!J25)*1000</f>
        <v>1470.9652608639917</v>
      </c>
      <c r="U65" s="425">
        <f>(G65/'Population Figures'!I25)*1000</f>
        <v>29.765704993073541</v>
      </c>
      <c r="V65" s="425">
        <f>(H65/'Population Figures'!I25)*1000</f>
        <v>96.488586400048192</v>
      </c>
      <c r="W65" s="425">
        <f>(I65/'Population Figures'!I25)*1000</f>
        <v>25.501415406854182</v>
      </c>
      <c r="X65" s="500">
        <f>(J65/'Population Figures'!I25)*1000</f>
        <v>16.719869903029572</v>
      </c>
      <c r="Y65" s="186">
        <f>(K65/'Population Figures'!I25)*1000</f>
        <v>0</v>
      </c>
      <c r="Z65" s="186">
        <f>(L65/'Population Figures'!I25)*1000</f>
        <v>0</v>
      </c>
      <c r="AA65" s="501">
        <f>(M65/'Population Figures'!I25)*1000</f>
        <v>25.682105643558394</v>
      </c>
    </row>
    <row r="66" spans="1:27">
      <c r="A66" s="7" t="s">
        <v>51</v>
      </c>
      <c r="B66" s="425">
        <v>168962</v>
      </c>
      <c r="C66" s="280">
        <v>617</v>
      </c>
      <c r="D66" s="425">
        <v>77</v>
      </c>
      <c r="E66" s="425">
        <v>20293</v>
      </c>
      <c r="F66" s="280">
        <v>85118</v>
      </c>
      <c r="G66" s="425">
        <v>5306</v>
      </c>
      <c r="H66" s="425">
        <v>39871</v>
      </c>
      <c r="I66" s="425">
        <v>6634</v>
      </c>
      <c r="J66" s="425">
        <v>2254</v>
      </c>
      <c r="K66" s="280">
        <v>0</v>
      </c>
      <c r="L66" s="280">
        <v>16</v>
      </c>
      <c r="M66" s="280">
        <v>8776</v>
      </c>
      <c r="N66" s="233"/>
      <c r="O66" s="7" t="s">
        <v>51</v>
      </c>
      <c r="P66" s="425">
        <f>(B66*1000)/SUM('Population Figures'!$H26:$J26)</f>
        <v>522.42285572939215</v>
      </c>
      <c r="Q66" s="280">
        <f>(C66/SUM('Population Figures'!H26:J26))*1000</f>
        <v>1.9077360707439244</v>
      </c>
      <c r="R66" s="425">
        <f>(D66/'Population Figures'!H26)*1000</f>
        <v>1.0624793023512529</v>
      </c>
      <c r="S66" s="425">
        <f>(E66/'Population Figures'!H26)*1000</f>
        <v>280.01159068329838</v>
      </c>
      <c r="T66" s="280">
        <f>(F66/'Population Figures'!J26)*1000</f>
        <v>1819.3826949384404</v>
      </c>
      <c r="U66" s="425">
        <f>(G66/'Population Figures'!I26)*1000</f>
        <v>25.988910875570621</v>
      </c>
      <c r="V66" s="425">
        <f>(H66/'Population Figures'!I26)*1000</f>
        <v>195.28908132677654</v>
      </c>
      <c r="W66" s="425">
        <f>(I66/'Population Figures'!I26)*1000</f>
        <v>32.493485629200059</v>
      </c>
      <c r="X66" s="500">
        <f>(J66/'Population Figures'!I26)*1000</f>
        <v>11.040144197801768</v>
      </c>
      <c r="Y66" s="186">
        <f>(K66/'Population Figures'!I26)*1000</f>
        <v>0</v>
      </c>
      <c r="Z66" s="186">
        <f>(L66/'Population Figures'!I26)*1000</f>
        <v>7.8368370525655845E-2</v>
      </c>
      <c r="AA66" s="501">
        <f>(M66/'Population Figures'!I26)*1000</f>
        <v>42.985051233322231</v>
      </c>
    </row>
    <row r="67" spans="1:27">
      <c r="A67" s="7" t="s">
        <v>52</v>
      </c>
      <c r="B67" s="425">
        <v>15764</v>
      </c>
      <c r="C67" s="280">
        <v>856</v>
      </c>
      <c r="D67" s="425">
        <v>74</v>
      </c>
      <c r="E67" s="425">
        <v>2532</v>
      </c>
      <c r="F67" s="280">
        <v>8468</v>
      </c>
      <c r="G67" s="425">
        <v>883</v>
      </c>
      <c r="H67" s="425">
        <v>1834</v>
      </c>
      <c r="I67" s="425">
        <v>717</v>
      </c>
      <c r="J67" s="425">
        <v>40</v>
      </c>
      <c r="K67" s="280">
        <v>0</v>
      </c>
      <c r="L67" s="280">
        <v>0</v>
      </c>
      <c r="M67" s="280">
        <v>360</v>
      </c>
      <c r="N67" s="233"/>
      <c r="O67" s="7" t="s">
        <v>52</v>
      </c>
      <c r="P67" s="425">
        <f>(B67*1000)/SUM('Population Figures'!$H27:$J27)</f>
        <v>804.69627360898414</v>
      </c>
      <c r="Q67" s="280">
        <f>(C67/SUM('Population Figures'!H27:J27))*1000</f>
        <v>43.695763144461459</v>
      </c>
      <c r="R67" s="425">
        <f>(D67/'Population Figures'!H27)*1000</f>
        <v>17.711823839157493</v>
      </c>
      <c r="S67" s="425">
        <f>(E67/'Population Figures'!H27)*1000</f>
        <v>606.03159406414557</v>
      </c>
      <c r="T67" s="280">
        <f>(F67/'Population Figures'!J27)*1000</f>
        <v>2394.1193101498443</v>
      </c>
      <c r="U67" s="425">
        <f>(G67/'Population Figures'!I27)*1000</f>
        <v>74.357894736842113</v>
      </c>
      <c r="V67" s="425">
        <f>(H67/'Population Figures'!I27)*1000</f>
        <v>154.44210526315791</v>
      </c>
      <c r="W67" s="425">
        <f>(I67/'Population Figures'!I27)*1000</f>
        <v>60.378947368421052</v>
      </c>
      <c r="X67" s="500">
        <f>(J67/'Population Figures'!I27)*1000</f>
        <v>3.3684210526315792</v>
      </c>
      <c r="Y67" s="186">
        <f>(K67/'Population Figures'!I27)*1000</f>
        <v>0</v>
      </c>
      <c r="Z67" s="186">
        <f>(L67/'Population Figures'!I27)*1000</f>
        <v>0</v>
      </c>
      <c r="AA67" s="501">
        <f>(M67/'Population Figures'!I27)*1000</f>
        <v>30.315789473684209</v>
      </c>
    </row>
    <row r="68" spans="1:27">
      <c r="A68" s="7" t="s">
        <v>53</v>
      </c>
      <c r="B68" s="425">
        <v>65363</v>
      </c>
      <c r="C68" s="280">
        <v>545</v>
      </c>
      <c r="D68" s="425">
        <v>0</v>
      </c>
      <c r="E68" s="425">
        <v>11470</v>
      </c>
      <c r="F68" s="280">
        <v>34782</v>
      </c>
      <c r="G68" s="425">
        <v>2033</v>
      </c>
      <c r="H68" s="425">
        <v>10567</v>
      </c>
      <c r="I68" s="425">
        <v>3718</v>
      </c>
      <c r="J68" s="425">
        <v>642</v>
      </c>
      <c r="K68" s="280">
        <v>0</v>
      </c>
      <c r="L68" s="280">
        <v>0</v>
      </c>
      <c r="M68" s="280">
        <v>1606</v>
      </c>
      <c r="N68" s="233"/>
      <c r="O68" s="7" t="s">
        <v>53</v>
      </c>
      <c r="P68" s="425">
        <f>(B68*1000)/SUM('Population Figures'!$H28:$J28)</f>
        <v>471.62854462803955</v>
      </c>
      <c r="Q68" s="280">
        <f>(C68/SUM('Population Figures'!H28:J28))*1000</f>
        <v>3.9324626596435528</v>
      </c>
      <c r="R68" s="425">
        <f>(D68/'Population Figures'!H28)*1000</f>
        <v>0</v>
      </c>
      <c r="S68" s="425">
        <f>(E68/'Population Figures'!H28)*1000</f>
        <v>400.4189212777099</v>
      </c>
      <c r="T68" s="280">
        <f>(F68/'Population Figures'!J28)*1000</f>
        <v>1299.4844205335128</v>
      </c>
      <c r="U68" s="425">
        <f>(G68/'Population Figures'!I28)*1000</f>
        <v>24.441265223193351</v>
      </c>
      <c r="V68" s="425">
        <f>(H68/'Population Figures'!I28)*1000</f>
        <v>127.03927674052345</v>
      </c>
      <c r="W68" s="425">
        <f>(I68/'Population Figures'!I28)*1000</f>
        <v>44.69878214453167</v>
      </c>
      <c r="X68" s="500">
        <f>(J68/'Population Figures'!I28)*1000</f>
        <v>7.7182942810084283</v>
      </c>
      <c r="Y68" s="186">
        <f>(K68/'Population Figures'!I28)*1000</f>
        <v>0</v>
      </c>
      <c r="Z68" s="186">
        <f>(L68/'Population Figures'!I28)*1000</f>
        <v>0</v>
      </c>
      <c r="AA68" s="501">
        <f>(M68/'Population Figures'!I28)*1000</f>
        <v>19.307757967756285</v>
      </c>
    </row>
    <row r="69" spans="1:27">
      <c r="A69" s="7" t="s">
        <v>54</v>
      </c>
      <c r="B69" s="425">
        <v>97644</v>
      </c>
      <c r="C69" s="280">
        <v>313</v>
      </c>
      <c r="D69" s="425">
        <v>0</v>
      </c>
      <c r="E69" s="425">
        <v>21767</v>
      </c>
      <c r="F69" s="280">
        <v>41402</v>
      </c>
      <c r="G69" s="425">
        <v>6676</v>
      </c>
      <c r="H69" s="425">
        <v>18666</v>
      </c>
      <c r="I69" s="425">
        <v>4972</v>
      </c>
      <c r="J69" s="425">
        <v>1387</v>
      </c>
      <c r="K69" s="280">
        <v>0</v>
      </c>
      <c r="L69" s="280">
        <v>0</v>
      </c>
      <c r="M69" s="280">
        <v>2461</v>
      </c>
      <c r="N69" s="233"/>
      <c r="O69" s="7" t="s">
        <v>54</v>
      </c>
      <c r="P69" s="425">
        <f>(B69*1000)/SUM('Population Figures'!$H29:$J29)</f>
        <v>574.37647058823529</v>
      </c>
      <c r="Q69" s="280">
        <f>(C69/SUM('Population Figures'!H29:J29))*1000</f>
        <v>1.8411764705882352</v>
      </c>
      <c r="R69" s="425">
        <f>(D69/'Population Figures'!H29)*1000</f>
        <v>0</v>
      </c>
      <c r="S69" s="425">
        <f>(E69/'Population Figures'!H29)*1000</f>
        <v>607.01636967009676</v>
      </c>
      <c r="T69" s="280">
        <f>(F69/'Population Figures'!J29)*1000</f>
        <v>1525.2164302818198</v>
      </c>
      <c r="U69" s="425">
        <f>(G69/'Population Figures'!I29)*1000</f>
        <v>62.394855882462892</v>
      </c>
      <c r="V69" s="425">
        <f>(H69/'Population Figures'!I29)*1000</f>
        <v>174.45511981756329</v>
      </c>
      <c r="W69" s="425">
        <f>(I69/'Population Figures'!I29)*1000</f>
        <v>46.469026879509521</v>
      </c>
      <c r="X69" s="500">
        <f>(J69/'Population Figures'!I29)*1000</f>
        <v>12.963101424352311</v>
      </c>
      <c r="Y69" s="186">
        <f>(K69/'Population Figures'!I29)*1000</f>
        <v>0</v>
      </c>
      <c r="Z69" s="186">
        <f>(L69/'Population Figures'!I29)*1000</f>
        <v>0</v>
      </c>
      <c r="AA69" s="501">
        <f>(M69/'Population Figures'!I29)*1000</f>
        <v>23.000859845227858</v>
      </c>
    </row>
    <row r="70" spans="1:27">
      <c r="A70" s="7" t="s">
        <v>55</v>
      </c>
      <c r="B70" s="425">
        <v>60695</v>
      </c>
      <c r="C70" s="280">
        <v>617</v>
      </c>
      <c r="D70" s="425">
        <v>52</v>
      </c>
      <c r="E70" s="425">
        <v>9149</v>
      </c>
      <c r="F70" s="280">
        <v>30147</v>
      </c>
      <c r="G70" s="425">
        <v>5172</v>
      </c>
      <c r="H70" s="425">
        <v>11622</v>
      </c>
      <c r="I70" s="425">
        <v>2375</v>
      </c>
      <c r="J70" s="425">
        <v>198</v>
      </c>
      <c r="K70" s="280">
        <v>0</v>
      </c>
      <c r="L70" s="280">
        <v>-1</v>
      </c>
      <c r="M70" s="280">
        <v>1364</v>
      </c>
      <c r="N70" s="233"/>
      <c r="O70" s="7" t="s">
        <v>55</v>
      </c>
      <c r="P70" s="425">
        <f>(B70*1000)/SUM('Population Figures'!$H30:$J30)</f>
        <v>553.13041100883993</v>
      </c>
      <c r="Q70" s="280">
        <f>(C70/SUM('Population Figures'!H30:J30))*1000</f>
        <v>5.6228925544518358</v>
      </c>
      <c r="R70" s="425">
        <f>(D70/'Population Figures'!H30)*1000</f>
        <v>2.27094069351035</v>
      </c>
      <c r="S70" s="425">
        <f>(E70/'Population Figures'!H30)*1000</f>
        <v>399.55454624858066</v>
      </c>
      <c r="T70" s="280">
        <f>(F70/'Population Figures'!J30)*1000</f>
        <v>1423.4383115350111</v>
      </c>
      <c r="U70" s="425">
        <f>(G70/'Population Figures'!I30)*1000</f>
        <v>78.777816702968636</v>
      </c>
      <c r="V70" s="425">
        <f>(H70/'Population Figures'!I30)*1000</f>
        <v>177.02161363532511</v>
      </c>
      <c r="W70" s="425">
        <f>(I70/'Population Figures'!I30)*1000</f>
        <v>36.175041506100257</v>
      </c>
      <c r="X70" s="500">
        <f>(J70/'Population Figures'!I30)*1000</f>
        <v>3.0158560918769894</v>
      </c>
      <c r="Y70" s="186">
        <f>(K70/'Population Figures'!I30)*1000</f>
        <v>0</v>
      </c>
      <c r="Z70" s="186">
        <f>(L70/'Population Figures'!I30)*1000</f>
        <v>-1.5231596423621159E-2</v>
      </c>
      <c r="AA70" s="501">
        <f>(M70/'Population Figures'!I30)*1000</f>
        <v>20.775897521819264</v>
      </c>
    </row>
    <row r="71" spans="1:27">
      <c r="A71" s="7" t="s">
        <v>56</v>
      </c>
      <c r="B71" s="425">
        <v>18589</v>
      </c>
      <c r="C71" s="280">
        <v>331</v>
      </c>
      <c r="D71" s="425">
        <v>40</v>
      </c>
      <c r="E71" s="425">
        <v>3635</v>
      </c>
      <c r="F71" s="280">
        <v>9743</v>
      </c>
      <c r="G71" s="425">
        <v>1036</v>
      </c>
      <c r="H71" s="425">
        <v>2849</v>
      </c>
      <c r="I71" s="425">
        <v>586</v>
      </c>
      <c r="J71" s="425">
        <v>123</v>
      </c>
      <c r="K71" s="280">
        <v>0</v>
      </c>
      <c r="L71" s="280">
        <v>0</v>
      </c>
      <c r="M71" s="280">
        <v>246</v>
      </c>
      <c r="N71" s="233"/>
      <c r="O71" s="7" t="s">
        <v>56</v>
      </c>
      <c r="P71" s="425">
        <f>(B71*1000)/SUM('Population Figures'!$H31:$J31)</f>
        <v>844.9545454545455</v>
      </c>
      <c r="Q71" s="280">
        <f>(C71/SUM('Population Figures'!H31:J31))*1000</f>
        <v>15.045454545454547</v>
      </c>
      <c r="R71" s="425">
        <f>(D71/'Population Figures'!H31)*1000</f>
        <v>7.7654824305960002</v>
      </c>
      <c r="S71" s="425">
        <f>(E71/'Population Figures'!H31)*1000</f>
        <v>705.68821588041158</v>
      </c>
      <c r="T71" s="280">
        <f>(F71/'Population Figures'!J31)*1000</f>
        <v>2929.3445580276607</v>
      </c>
      <c r="U71" s="425">
        <f>(G71/'Population Figures'!I31)*1000</f>
        <v>76.61021962582268</v>
      </c>
      <c r="V71" s="425">
        <f>(H71/'Population Figures'!I31)*1000</f>
        <v>210.67810397101235</v>
      </c>
      <c r="W71" s="425">
        <f>(I71/'Population Figures'!I31)*1000</f>
        <v>43.333579826961476</v>
      </c>
      <c r="X71" s="500">
        <f>(J71/'Population Figures'!I31)*1000</f>
        <v>9.0956148783553932</v>
      </c>
      <c r="Y71" s="186">
        <f>(K71/'Population Figures'!I31)*1000</f>
        <v>0</v>
      </c>
      <c r="Z71" s="186">
        <f>(L71/'Population Figures'!I31)*1000</f>
        <v>0</v>
      </c>
      <c r="AA71" s="501">
        <f>(M71/'Population Figures'!I31)*1000</f>
        <v>18.191229756710786</v>
      </c>
    </row>
    <row r="72" spans="1:27">
      <c r="A72" s="7" t="s">
        <v>57</v>
      </c>
      <c r="B72" s="425">
        <v>60883</v>
      </c>
      <c r="C72" s="280">
        <v>45</v>
      </c>
      <c r="D72" s="425">
        <v>35</v>
      </c>
      <c r="E72" s="425">
        <v>13985</v>
      </c>
      <c r="F72" s="280">
        <v>31348</v>
      </c>
      <c r="G72" s="425">
        <v>3401</v>
      </c>
      <c r="H72" s="425">
        <v>9171</v>
      </c>
      <c r="I72" s="425">
        <v>977</v>
      </c>
      <c r="J72" s="425">
        <v>529</v>
      </c>
      <c r="K72" s="280">
        <v>0</v>
      </c>
      <c r="L72" s="280">
        <v>0</v>
      </c>
      <c r="M72" s="280">
        <v>1392</v>
      </c>
      <c r="O72" s="7" t="s">
        <v>57</v>
      </c>
      <c r="P72" s="425">
        <f>(B72*1000)/SUM('Population Figures'!$H32:$J32)</f>
        <v>544.66809804974059</v>
      </c>
      <c r="Q72" s="280">
        <f>(C72/SUM('Population Figures'!H32:J32))*1000</f>
        <v>0.40257648953301128</v>
      </c>
      <c r="R72" s="425">
        <f>(D72/'Population Figures'!H32)*1000</f>
        <v>1.5956234328698427</v>
      </c>
      <c r="S72" s="425">
        <f>(E72/'Population Figures'!H32)*1000</f>
        <v>637.56553453385004</v>
      </c>
      <c r="T72" s="280">
        <f>(F72/'Population Figures'!J32)*1000</f>
        <v>1401.6543706684552</v>
      </c>
      <c r="U72" s="425">
        <f>(G72/'Population Figures'!I32)*1000</f>
        <v>50.400118553645527</v>
      </c>
      <c r="V72" s="425">
        <f>(H72/'Population Figures'!I32)*1000</f>
        <v>135.90693538826318</v>
      </c>
      <c r="W72" s="425">
        <f>(I72/'Population Figures'!I32)*1000</f>
        <v>14.478363959691761</v>
      </c>
      <c r="X72" s="500">
        <f>(J72/'Population Figures'!I32)*1000</f>
        <v>7.8393598103141668</v>
      </c>
      <c r="Y72" s="186">
        <f>(K72/'Population Figures'!I32)*1000</f>
        <v>0</v>
      </c>
      <c r="Z72" s="186">
        <f>(L72/'Population Figures'!I32)*1000</f>
        <v>0</v>
      </c>
      <c r="AA72" s="501">
        <f>(M72/'Population Figures'!I32)*1000</f>
        <v>20.628334321280381</v>
      </c>
    </row>
    <row r="73" spans="1:27">
      <c r="A73" s="7" t="s">
        <v>58</v>
      </c>
      <c r="B73" s="425">
        <v>137063</v>
      </c>
      <c r="C73" s="280">
        <v>1891</v>
      </c>
      <c r="D73" s="425">
        <v>54</v>
      </c>
      <c r="E73" s="425">
        <v>25066</v>
      </c>
      <c r="F73" s="280">
        <v>67190</v>
      </c>
      <c r="G73" s="425">
        <v>5012</v>
      </c>
      <c r="H73" s="425">
        <v>27815</v>
      </c>
      <c r="I73" s="425">
        <v>4381</v>
      </c>
      <c r="J73" s="425">
        <v>925</v>
      </c>
      <c r="K73" s="280">
        <v>0</v>
      </c>
      <c r="L73" s="280">
        <v>0</v>
      </c>
      <c r="M73" s="280">
        <v>4729</v>
      </c>
      <c r="O73" s="7" t="s">
        <v>58</v>
      </c>
      <c r="P73" s="425">
        <f>(B73*1000)/SUM('Population Figures'!$H33:$J33)</f>
        <v>447.50881546297506</v>
      </c>
      <c r="Q73" s="280">
        <f>(C73/SUM('Population Figures'!H33:J33))*1000</f>
        <v>6.1740890688259107</v>
      </c>
      <c r="R73" s="425">
        <f>(D73/'Population Figures'!H33)*1000</f>
        <v>0.82327113062568602</v>
      </c>
      <c r="S73" s="425">
        <f>(E73/'Population Figures'!H33)*1000</f>
        <v>382.15026222710088</v>
      </c>
      <c r="T73" s="280">
        <f>(F73/'Population Figures'!J33)*1000</f>
        <v>1381.6574131194736</v>
      </c>
      <c r="U73" s="425">
        <f>(G73/'Population Figures'!I33)*1000</f>
        <v>26.09628341438524</v>
      </c>
      <c r="V73" s="425">
        <f>(H73/'Population Figures'!I33)*1000</f>
        <v>144.82604213310563</v>
      </c>
      <c r="W73" s="425">
        <f>(I73/'Population Figures'!I33)*1000</f>
        <v>22.810817565527081</v>
      </c>
      <c r="X73" s="500">
        <f>(J73/'Population Figures'!I33)*1000</f>
        <v>4.8162534234450005</v>
      </c>
      <c r="Y73" s="186">
        <f>(K73/'Population Figures'!I33)*1000</f>
        <v>0</v>
      </c>
      <c r="Z73" s="186">
        <f>(L73/'Population Figures'!I33)*1000</f>
        <v>0</v>
      </c>
      <c r="AA73" s="501">
        <f>(M73/'Population Figures'!I33)*1000</f>
        <v>24.622770204833959</v>
      </c>
    </row>
    <row r="74" spans="1:27">
      <c r="A74" s="7" t="s">
        <v>59</v>
      </c>
      <c r="B74" s="425">
        <v>42622</v>
      </c>
      <c r="C74" s="280">
        <v>416</v>
      </c>
      <c r="D74" s="425">
        <v>0</v>
      </c>
      <c r="E74" s="425">
        <v>9104</v>
      </c>
      <c r="F74" s="280">
        <v>19420</v>
      </c>
      <c r="G74" s="425">
        <v>2477</v>
      </c>
      <c r="H74" s="425">
        <v>6949</v>
      </c>
      <c r="I74" s="425">
        <v>2135</v>
      </c>
      <c r="J74" s="425">
        <v>405</v>
      </c>
      <c r="K74" s="280">
        <v>0</v>
      </c>
      <c r="L74" s="280">
        <v>0</v>
      </c>
      <c r="M74" s="280">
        <v>1716</v>
      </c>
      <c r="O74" s="7" t="s">
        <v>59</v>
      </c>
      <c r="P74" s="425">
        <f>(B74*1000)/SUM('Population Figures'!$H34:$J34)</f>
        <v>490.30254227539399</v>
      </c>
      <c r="Q74" s="280">
        <f>(C74/SUM('Population Figures'!H34:J34))*1000</f>
        <v>4.7854595651673764</v>
      </c>
      <c r="R74" s="425">
        <f>(D74/'Population Figures'!H34)*1000</f>
        <v>0</v>
      </c>
      <c r="S74" s="425">
        <f>(E74/'Population Figures'!H34)*1000</f>
        <v>473.30387314790744</v>
      </c>
      <c r="T74" s="280">
        <f>(F74/'Population Figures'!J34)*1000</f>
        <v>1372.6321741588918</v>
      </c>
      <c r="U74" s="425">
        <f>(G74/'Population Figures'!I34)*1000</f>
        <v>46.258427176125643</v>
      </c>
      <c r="V74" s="425">
        <f>(H74/'Population Figures'!I34)*1000</f>
        <v>129.77384353932058</v>
      </c>
      <c r="W74" s="425">
        <f>(I74/'Population Figures'!I34)*1000</f>
        <v>39.871514744056626</v>
      </c>
      <c r="X74" s="500">
        <f>(J74/'Population Figures'!I34)*1000</f>
        <v>7.5634489327133174</v>
      </c>
      <c r="Y74" s="186">
        <f>(K74/'Population Figures'!I34)*1000</f>
        <v>0</v>
      </c>
      <c r="Z74" s="186">
        <f>(L74/'Population Figures'!I34)*1000</f>
        <v>0</v>
      </c>
      <c r="AA74" s="501">
        <f>(M74/'Population Figures'!I34)*1000</f>
        <v>32.04661325564458</v>
      </c>
    </row>
    <row r="75" spans="1:27">
      <c r="A75" s="7" t="s">
        <v>60</v>
      </c>
      <c r="B75" s="425">
        <v>58131</v>
      </c>
      <c r="C75" s="280">
        <v>567</v>
      </c>
      <c r="D75" s="425">
        <v>99</v>
      </c>
      <c r="E75" s="425">
        <v>13940</v>
      </c>
      <c r="F75" s="280">
        <v>22033</v>
      </c>
      <c r="G75" s="425">
        <v>4712</v>
      </c>
      <c r="H75" s="425">
        <v>9379</v>
      </c>
      <c r="I75" s="425">
        <v>4413</v>
      </c>
      <c r="J75" s="425">
        <v>1285</v>
      </c>
      <c r="K75" s="280">
        <v>36</v>
      </c>
      <c r="L75" s="280">
        <v>38</v>
      </c>
      <c r="M75" s="280">
        <v>1629</v>
      </c>
      <c r="O75" s="7" t="s">
        <v>60</v>
      </c>
      <c r="P75" s="425">
        <f>(B75*1000)/SUM('Population Figures'!$H35:$J35)</f>
        <v>636.00656455142234</v>
      </c>
      <c r="Q75" s="280">
        <f>(C75/SUM('Population Figures'!H35:J35))*1000</f>
        <v>6.2035010940919033</v>
      </c>
      <c r="R75" s="425">
        <f>(D75/'Population Figures'!H35)*1000</f>
        <v>5.1181305898774756</v>
      </c>
      <c r="S75" s="425">
        <f>(E75/'Population Figures'!H35)*1000</f>
        <v>720.67414568577783</v>
      </c>
      <c r="T75" s="280">
        <f>(F75/'Population Figures'!J35)*1000</f>
        <v>1504.780767654692</v>
      </c>
      <c r="U75" s="425">
        <f>(G75/'Population Figures'!I35)*1000</f>
        <v>82.06914569363407</v>
      </c>
      <c r="V75" s="425">
        <f>(H75/'Population Figures'!I35)*1000</f>
        <v>163.35452407907343</v>
      </c>
      <c r="W75" s="425">
        <f>(I75/'Population Figures'!I35)*1000</f>
        <v>76.861447356962472</v>
      </c>
      <c r="X75" s="500">
        <f>(J75/'Population Figures'!I35)*1000</f>
        <v>22.380910911782635</v>
      </c>
      <c r="Y75" s="186">
        <f>(K75/'Population Figures'!I35)*1000</f>
        <v>0.62701384655577808</v>
      </c>
      <c r="Z75" s="186">
        <f>(L75/'Population Figures'!I35)*1000</f>
        <v>0.66184794914221023</v>
      </c>
      <c r="AA75" s="501">
        <f>(M75/'Population Figures'!I35)*1000</f>
        <v>28.372376556648963</v>
      </c>
    </row>
    <row r="76" spans="1:27">
      <c r="A76" s="7" t="s">
        <v>61</v>
      </c>
      <c r="B76" s="425">
        <v>65188</v>
      </c>
      <c r="C76" s="280">
        <v>2807</v>
      </c>
      <c r="D76" s="425">
        <v>43</v>
      </c>
      <c r="E76" s="425">
        <v>15849</v>
      </c>
      <c r="F76" s="280">
        <v>25047</v>
      </c>
      <c r="G76" s="425">
        <v>4752</v>
      </c>
      <c r="H76" s="425">
        <v>10337</v>
      </c>
      <c r="I76" s="425">
        <v>3579</v>
      </c>
      <c r="J76" s="425">
        <v>909</v>
      </c>
      <c r="K76" s="280">
        <v>8</v>
      </c>
      <c r="L76" s="280">
        <v>0</v>
      </c>
      <c r="M76" s="280">
        <v>1857</v>
      </c>
      <c r="O76" s="7" t="s">
        <v>61</v>
      </c>
      <c r="P76" s="425">
        <f>(B76*1000)/SUM('Population Figures'!$H36:$J36)</f>
        <v>398.02173647576018</v>
      </c>
      <c r="Q76" s="280">
        <f>(C76/SUM('Population Figures'!H36:J36))*1000</f>
        <v>17.138844791793872</v>
      </c>
      <c r="R76" s="425">
        <f>(D76/'Population Figures'!H36)*1000</f>
        <v>1.1096201486374897</v>
      </c>
      <c r="S76" s="425">
        <f>(E76/'Population Figures'!H36)*1000</f>
        <v>408.98534269199013</v>
      </c>
      <c r="T76" s="280">
        <f>(F76/'Population Figures'!J36)*1000</f>
        <v>1235.1200749543862</v>
      </c>
      <c r="U76" s="425">
        <f>(G76/'Population Figures'!I36)*1000</f>
        <v>45.365588215639292</v>
      </c>
      <c r="V76" s="425">
        <f>(H76/'Population Figures'!I36)*1000</f>
        <v>98.683519651738919</v>
      </c>
      <c r="W76" s="425">
        <f>(I76/'Population Figures'!I36)*1000</f>
        <v>34.167390619480855</v>
      </c>
      <c r="X76" s="500">
        <f>(J76/'Population Figures'!I36)*1000</f>
        <v>8.6778871397340307</v>
      </c>
      <c r="Y76" s="186">
        <f>(K76/'Population Figures'!I36)*1000</f>
        <v>7.6373044134072879E-2</v>
      </c>
      <c r="Z76" s="186">
        <f>(L76/'Population Figures'!I36)*1000</f>
        <v>0</v>
      </c>
      <c r="AA76" s="501">
        <f>(M76/'Population Figures'!I36)*1000</f>
        <v>17.728092869621666</v>
      </c>
    </row>
    <row r="77" spans="1:27">
      <c r="A77" s="52" t="s">
        <v>5</v>
      </c>
      <c r="B77" s="53">
        <f>SUM(B45:B76)</f>
        <v>2808040</v>
      </c>
      <c r="C77" s="52">
        <f t="shared" ref="C77:M77" si="3">SUM(C45:C76)</f>
        <v>26437</v>
      </c>
      <c r="D77" s="53">
        <f t="shared" si="3"/>
        <v>2505</v>
      </c>
      <c r="E77" s="53">
        <f t="shared" si="3"/>
        <v>588240</v>
      </c>
      <c r="F77" s="52">
        <f t="shared" si="3"/>
        <v>1253157</v>
      </c>
      <c r="G77" s="53">
        <f t="shared" si="3"/>
        <v>180935</v>
      </c>
      <c r="H77" s="53">
        <f t="shared" si="3"/>
        <v>474392</v>
      </c>
      <c r="I77" s="53">
        <f t="shared" si="3"/>
        <v>147508</v>
      </c>
      <c r="J77" s="53">
        <f t="shared" si="3"/>
        <v>37299</v>
      </c>
      <c r="K77" s="52">
        <f t="shared" si="3"/>
        <v>2227</v>
      </c>
      <c r="L77" s="52">
        <f t="shared" si="3"/>
        <v>2501</v>
      </c>
      <c r="M77" s="52">
        <f t="shared" si="3"/>
        <v>92839</v>
      </c>
      <c r="N77" s="1"/>
      <c r="O77" s="52" t="s">
        <v>5</v>
      </c>
      <c r="P77" s="53">
        <f>(B77*1000)/SUM('Population Figures'!$H37:$J37)</f>
        <v>551.15804349532857</v>
      </c>
      <c r="Q77" s="52">
        <f>(C77/SUM('Population Figures'!H37:J37))*1000</f>
        <v>5.189016251864647</v>
      </c>
      <c r="R77" s="53">
        <f>(D77/'Population Figures'!H37)*1000</f>
        <v>2.3653787863765512</v>
      </c>
      <c r="S77" s="53">
        <f>(E77/'Population Figures'!H37)*1000</f>
        <v>555.45326039846009</v>
      </c>
      <c r="T77" s="52">
        <f>(F77/'Population Figures'!J37)*1000</f>
        <v>1504.2204121023558</v>
      </c>
      <c r="U77" s="53">
        <f>(G77/'Population Figures'!I37)*1000</f>
        <v>56.494890683705734</v>
      </c>
      <c r="V77" s="53">
        <f>(H77/'Population Figures'!I37)*1000</f>
        <v>148.12349286331849</v>
      </c>
      <c r="W77" s="53">
        <f>(I77/'Population Figures'!I37)*1000</f>
        <v>46.057691076751681</v>
      </c>
      <c r="X77" s="445">
        <f>(J77/'Population Figures'!I37)*1000</f>
        <v>11.646187457437977</v>
      </c>
      <c r="Y77" s="446">
        <f>(K77/'Population Figures'!I37)*1000</f>
        <v>0.69535535718690511</v>
      </c>
      <c r="Z77" s="446">
        <f>(L77/'Population Figures'!I37)*1000</f>
        <v>0.78090873297011654</v>
      </c>
      <c r="AA77" s="446">
        <f>(M77/'Population Figures'!I37)*1000</f>
        <v>28.987919176414493</v>
      </c>
    </row>
  </sheetData>
  <sheetProtection selectLockedCells="1" selectUnlockedCells="1"/>
  <mergeCells count="4">
    <mergeCell ref="B1:M1"/>
    <mergeCell ref="O1:Z1"/>
    <mergeCell ref="B43:M43"/>
    <mergeCell ref="O43:Z43"/>
  </mergeCells>
  <phoneticPr fontId="0"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2"/>
  </sheetPr>
  <dimension ref="A1:AA77"/>
  <sheetViews>
    <sheetView zoomScale="85" workbookViewId="0">
      <selection activeCell="A2" sqref="A2"/>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row>
    <row r="3" spans="1:27">
      <c r="A3" s="7" t="s">
        <v>31</v>
      </c>
      <c r="B3" s="8">
        <f>B45*$E$39</f>
        <v>161283.00761829823</v>
      </c>
      <c r="C3" s="7">
        <f t="shared" ref="C3:M3" si="0">C45*$E$39</f>
        <v>778.17733109195615</v>
      </c>
      <c r="D3" s="8">
        <f t="shared" si="0"/>
        <v>0</v>
      </c>
      <c r="E3" s="8">
        <f t="shared" si="0"/>
        <v>34117.780678851181</v>
      </c>
      <c r="F3" s="7">
        <f t="shared" si="0"/>
        <v>64542.672484709758</v>
      </c>
      <c r="G3" s="8">
        <f t="shared" si="0"/>
        <v>11493.080582281198</v>
      </c>
      <c r="H3" s="8">
        <f t="shared" si="0"/>
        <v>30851.968418040706</v>
      </c>
      <c r="I3" s="8">
        <f t="shared" si="0"/>
        <v>10695.333702922137</v>
      </c>
      <c r="J3" s="8">
        <f t="shared" si="0"/>
        <v>3576.6227332880294</v>
      </c>
      <c r="K3" s="7">
        <f t="shared" si="0"/>
        <v>0</v>
      </c>
      <c r="L3" s="7">
        <f t="shared" si="0"/>
        <v>11.511498980650238</v>
      </c>
      <c r="M3" s="7">
        <f t="shared" si="0"/>
        <v>5215.8601881326231</v>
      </c>
      <c r="O3" s="7" t="s">
        <v>31</v>
      </c>
      <c r="P3" s="8">
        <f>(B3*1000)/SUM('Population Figures'!$K5:$M5)</f>
        <v>779.59690457414069</v>
      </c>
      <c r="Q3" s="7">
        <f>(C3*1000)/SUM('Population Figures'!$K5:$M5)</f>
        <v>3.761491352919355</v>
      </c>
      <c r="R3" s="8">
        <f>(D3*1000)/SUM('Population Figures'!$K5)</f>
        <v>0</v>
      </c>
      <c r="S3" s="8">
        <f>(E3*1000)/SUM('Population Figures'!$K5)</f>
        <v>915.6923341702992</v>
      </c>
      <c r="T3" s="7">
        <f>(F3*1000)/SUM('Population Figures'!$M5)</f>
        <v>1999.2154777818657</v>
      </c>
      <c r="U3" s="8">
        <f>(G3*1000)/SUM('Population Figures'!$L5)</f>
        <v>83.685245653255848</v>
      </c>
      <c r="V3" s="8">
        <f>(H3*1000)/SUM('Population Figures'!$L5)</f>
        <v>224.64425768759114</v>
      </c>
      <c r="W3" s="8">
        <f>(I3*1000)/SUM('Population Figures'!$L5)</f>
        <v>77.876564239222773</v>
      </c>
      <c r="X3" s="8">
        <f>(J3*1000)/SUM('Population Figures'!$L5)</f>
        <v>26.042674103031441</v>
      </c>
      <c r="Y3" s="7">
        <f>(K3*1000)/SUM('Population Figures'!$L5)</f>
        <v>0</v>
      </c>
      <c r="Z3" s="7">
        <f>(L3*1000)/SUM('Population Figures'!$L5)</f>
        <v>8.3819356623854008E-2</v>
      </c>
      <c r="AA3" s="7">
        <f>(M3*1000)/SUM('Population Figures'!$L5)</f>
        <v>37.978550486268254</v>
      </c>
    </row>
    <row r="4" spans="1:27">
      <c r="A4" s="7" t="s">
        <v>32</v>
      </c>
      <c r="B4" s="8">
        <f t="shared" ref="B4:B35" si="1">B46*$E$39</f>
        <v>138063.16302442865</v>
      </c>
      <c r="C4" s="7">
        <f t="shared" ref="C4:M4" si="2">C46*$E$39</f>
        <v>1015.3142100933511</v>
      </c>
      <c r="D4" s="8">
        <f t="shared" si="2"/>
        <v>124.32418899102258</v>
      </c>
      <c r="E4" s="8">
        <f t="shared" si="2"/>
        <v>26003.325047390823</v>
      </c>
      <c r="F4" s="7">
        <f t="shared" si="2"/>
        <v>64104.084373546983</v>
      </c>
      <c r="G4" s="8">
        <f t="shared" si="2"/>
        <v>4359.4046639722455</v>
      </c>
      <c r="H4" s="8">
        <f t="shared" si="2"/>
        <v>33481.194785221218</v>
      </c>
      <c r="I4" s="8">
        <f t="shared" si="2"/>
        <v>4643.7386887943067</v>
      </c>
      <c r="J4" s="8">
        <f t="shared" si="2"/>
        <v>1740.5386458743162</v>
      </c>
      <c r="K4" s="7">
        <f t="shared" si="2"/>
        <v>0</v>
      </c>
      <c r="L4" s="7">
        <f t="shared" si="2"/>
        <v>0</v>
      </c>
      <c r="M4" s="7">
        <f t="shared" si="2"/>
        <v>2591.2384205443686</v>
      </c>
      <c r="O4" s="7" t="s">
        <v>32</v>
      </c>
      <c r="P4" s="8">
        <f>(B4*1000)/SUM('Population Figures'!$K6:$M6)</f>
        <v>584.36960562274032</v>
      </c>
      <c r="Q4" s="7">
        <f>(C4*1000)/SUM('Population Figures'!$K6:$M6)</f>
        <v>4.2974443837016469</v>
      </c>
      <c r="R4" s="8">
        <f>(D4*1000)/SUM('Population Figures'!$K6)</f>
        <v>2.3619611860897978</v>
      </c>
      <c r="S4" s="8">
        <f>(E4*1000)/SUM('Population Figures'!$K6)</f>
        <v>494.02167807946694</v>
      </c>
      <c r="T4" s="7">
        <f>(F4*1000)/SUM('Population Figures'!$M6)</f>
        <v>1757.6245989676186</v>
      </c>
      <c r="U4" s="8">
        <f>(G4*1000)/SUM('Population Figures'!$L6)</f>
        <v>29.625181200202821</v>
      </c>
      <c r="V4" s="8">
        <f>(H4*1000)/SUM('Population Figures'!$L6)</f>
        <v>227.52796282226009</v>
      </c>
      <c r="W4" s="8">
        <f>(I4*1000)/SUM('Population Figures'!$L6)</f>
        <v>31.557428297232157</v>
      </c>
      <c r="X4" s="8">
        <f>(J4*1000)/SUM('Population Figures'!$L6)</f>
        <v>11.828168464406302</v>
      </c>
      <c r="Y4" s="7">
        <f>(K4*1000)/SUM('Population Figures'!$L6)</f>
        <v>0</v>
      </c>
      <c r="Z4" s="7">
        <f>(L4*1000)/SUM('Population Figures'!$L6)</f>
        <v>0</v>
      </c>
      <c r="AA4" s="7">
        <f>(M4*1000)/SUM('Population Figures'!$L6)</f>
        <v>17.609264030012291</v>
      </c>
    </row>
    <row r="5" spans="1:27">
      <c r="A5" s="7" t="s">
        <v>33</v>
      </c>
      <c r="B5" s="8">
        <f t="shared" si="1"/>
        <v>69875.949962445011</v>
      </c>
      <c r="C5" s="7">
        <f t="shared" ref="C5:M5" si="3">C47*$E$39</f>
        <v>383.33291605565296</v>
      </c>
      <c r="D5" s="8">
        <f t="shared" si="3"/>
        <v>163.4632855252334</v>
      </c>
      <c r="E5" s="8">
        <f t="shared" si="3"/>
        <v>14948.8325762724</v>
      </c>
      <c r="F5" s="7">
        <f t="shared" si="3"/>
        <v>38350.558854036273</v>
      </c>
      <c r="G5" s="8">
        <f t="shared" si="3"/>
        <v>3040.1868807897281</v>
      </c>
      <c r="H5" s="8">
        <f t="shared" si="3"/>
        <v>9090.6307450194927</v>
      </c>
      <c r="I5" s="8">
        <f t="shared" si="3"/>
        <v>1918.9668800743948</v>
      </c>
      <c r="J5" s="8">
        <f t="shared" si="3"/>
        <v>340.74036982724709</v>
      </c>
      <c r="K5" s="7">
        <f t="shared" si="3"/>
        <v>5.755749490325119</v>
      </c>
      <c r="L5" s="7">
        <f t="shared" si="3"/>
        <v>0</v>
      </c>
      <c r="M5" s="7">
        <f t="shared" si="3"/>
        <v>1633.4817053542688</v>
      </c>
      <c r="O5" s="7" t="s">
        <v>33</v>
      </c>
      <c r="P5" s="8">
        <f>(B5*1000)/SUM('Population Figures'!$K7:$M7)</f>
        <v>639.18724810139963</v>
      </c>
      <c r="Q5" s="7">
        <f>(C5*1000)/SUM('Population Figures'!$K7:$M7)</f>
        <v>3.5065213689686514</v>
      </c>
      <c r="R5" s="8">
        <f>(D5*1000)/SUM('Population Figures'!$K7)</f>
        <v>7.1694423475979558</v>
      </c>
      <c r="S5" s="8">
        <f>(E5*1000)/SUM('Population Figures'!$K7)</f>
        <v>655.65055159089479</v>
      </c>
      <c r="T5" s="7">
        <f>(F5*1000)/SUM('Population Figures'!$M7)</f>
        <v>1848.4869549349917</v>
      </c>
      <c r="U5" s="8">
        <f>(G5*1000)/SUM('Population Figures'!$L7)</f>
        <v>46.222414680639893</v>
      </c>
      <c r="V5" s="8">
        <f>(H5*1000)/SUM('Population Figures'!$L7)</f>
        <v>138.21219565808906</v>
      </c>
      <c r="W5" s="8">
        <f>(I5*1000)/SUM('Population Figures'!$L7)</f>
        <v>29.175602147908638</v>
      </c>
      <c r="X5" s="8">
        <f>(J5*1000)/SUM('Population Figures'!$L7)</f>
        <v>5.1805508313023143</v>
      </c>
      <c r="Y5" s="7">
        <f>(K5*1000)/SUM('Population Figures'!$L7)</f>
        <v>8.7509304582809339E-2</v>
      </c>
      <c r="Z5" s="7">
        <f>(L5*1000)/SUM('Population Figures'!$L7)</f>
        <v>0</v>
      </c>
      <c r="AA5" s="7">
        <f>(M5*1000)/SUM('Population Figures'!$L7)</f>
        <v>24.835140640601292</v>
      </c>
    </row>
    <row r="6" spans="1:27">
      <c r="A6" s="7" t="s">
        <v>34</v>
      </c>
      <c r="B6" s="8">
        <f t="shared" si="1"/>
        <v>53499.691512571982</v>
      </c>
      <c r="C6" s="7">
        <f t="shared" ref="C6:M6" si="4">C48*$E$39</f>
        <v>1138.4872491863086</v>
      </c>
      <c r="D6" s="8">
        <f t="shared" si="4"/>
        <v>73.673593476161528</v>
      </c>
      <c r="E6" s="8">
        <f t="shared" si="4"/>
        <v>10840.37859007833</v>
      </c>
      <c r="F6" s="7">
        <f t="shared" si="4"/>
        <v>28228.497800350517</v>
      </c>
      <c r="G6" s="8">
        <f t="shared" si="4"/>
        <v>901.35037018491369</v>
      </c>
      <c r="H6" s="8">
        <f t="shared" si="4"/>
        <v>10104.79380521478</v>
      </c>
      <c r="I6" s="8">
        <f t="shared" si="4"/>
        <v>2035.2330197789622</v>
      </c>
      <c r="J6" s="8">
        <f t="shared" si="4"/>
        <v>195.69548267105407</v>
      </c>
      <c r="K6" s="7">
        <f t="shared" si="4"/>
        <v>0</v>
      </c>
      <c r="L6" s="7">
        <f t="shared" si="4"/>
        <v>0</v>
      </c>
      <c r="M6" s="7">
        <f t="shared" si="4"/>
        <v>-18.418398369040382</v>
      </c>
      <c r="O6" s="7" t="s">
        <v>34</v>
      </c>
      <c r="P6" s="8">
        <f>(B6*1000)/SUM('Population Figures'!$K8:$M8)</f>
        <v>585.39984147687915</v>
      </c>
      <c r="Q6" s="7">
        <f>(C6*1000)/SUM('Population Figures'!$K8:$M8)</f>
        <v>12.457459778819439</v>
      </c>
      <c r="R6" s="8">
        <f>(D6*1000)/SUM('Population Figures'!$K8)</f>
        <v>4.0777989415044855</v>
      </c>
      <c r="S6" s="8">
        <f>(E6*1000)/SUM('Population Figures'!$K8)</f>
        <v>600.00988487730831</v>
      </c>
      <c r="T6" s="7">
        <f>(F6*1000)/SUM('Population Figures'!$M8)</f>
        <v>1551.2720668434642</v>
      </c>
      <c r="U6" s="8">
        <f>(G6*1000)/SUM('Population Figures'!$L8)</f>
        <v>16.350730511644482</v>
      </c>
      <c r="V6" s="8">
        <f>(H6*1000)/SUM('Population Figures'!$L8)</f>
        <v>183.30359186617531</v>
      </c>
      <c r="W6" s="8">
        <f>(I6*1000)/SUM('Population Figures'!$L8)</f>
        <v>36.919657145066978</v>
      </c>
      <c r="X6" s="8">
        <f>(J6*1000)/SUM('Population Figures'!$L8)</f>
        <v>3.5499670331795175</v>
      </c>
      <c r="Y6" s="7">
        <f>(K6*1000)/SUM('Population Figures'!$L8)</f>
        <v>0</v>
      </c>
      <c r="Z6" s="7">
        <f>(L6*1000)/SUM('Population Figures'!$L8)</f>
        <v>0</v>
      </c>
      <c r="AA6" s="7">
        <f>(M6*1000)/SUM('Population Figures'!$L8)</f>
        <v>-0.33411454429924869</v>
      </c>
    </row>
    <row r="7" spans="1:27">
      <c r="A7" s="7" t="s">
        <v>35</v>
      </c>
      <c r="B7" s="8">
        <f t="shared" si="1"/>
        <v>31329.695625737691</v>
      </c>
      <c r="C7" s="7">
        <f t="shared" ref="C7:M7" si="5">C49*$E$39</f>
        <v>483.48295718731003</v>
      </c>
      <c r="D7" s="8">
        <f t="shared" si="5"/>
        <v>25.325297757430526</v>
      </c>
      <c r="E7" s="8">
        <f t="shared" si="5"/>
        <v>6962.1545834972649</v>
      </c>
      <c r="F7" s="7">
        <f t="shared" si="5"/>
        <v>13761.99703136736</v>
      </c>
      <c r="G7" s="8">
        <f t="shared" si="5"/>
        <v>2778.8758539289674</v>
      </c>
      <c r="H7" s="8">
        <f t="shared" si="5"/>
        <v>3879.3751564791305</v>
      </c>
      <c r="I7" s="8">
        <f t="shared" si="5"/>
        <v>1913.2111305840697</v>
      </c>
      <c r="J7" s="8">
        <f t="shared" si="5"/>
        <v>171.52133481168855</v>
      </c>
      <c r="K7" s="7">
        <f t="shared" si="5"/>
        <v>0</v>
      </c>
      <c r="L7" s="7">
        <f t="shared" si="5"/>
        <v>0</v>
      </c>
      <c r="M7" s="7">
        <f t="shared" si="5"/>
        <v>1353.7522801244681</v>
      </c>
      <c r="O7" s="7" t="s">
        <v>35</v>
      </c>
      <c r="P7" s="8">
        <f>(B7*1000)/SUM('Population Figures'!$K9:$M9)</f>
        <v>640.6890721009753</v>
      </c>
      <c r="Q7" s="7">
        <f>(C7*1000)/SUM('Population Figures'!$K9:$M9)</f>
        <v>9.8871770385952971</v>
      </c>
      <c r="R7" s="8">
        <f>(D7*1000)/SUM('Population Figures'!$K9)</f>
        <v>2.3508120075587606</v>
      </c>
      <c r="S7" s="8">
        <f>(E7*1000)/SUM('Population Figures'!$K9)</f>
        <v>646.25959189615378</v>
      </c>
      <c r="T7" s="7">
        <f>(F7*1000)/SUM('Population Figures'!$M9)</f>
        <v>1853.9669987023251</v>
      </c>
      <c r="U7" s="8">
        <f>(G7*1000)/SUM('Population Figures'!$L9)</f>
        <v>90.50533656621181</v>
      </c>
      <c r="V7" s="8">
        <f>(H7*1000)/SUM('Population Figures'!$L9)</f>
        <v>126.34754939027913</v>
      </c>
      <c r="W7" s="8">
        <f>(I7*1000)/SUM('Population Figures'!$L9)</f>
        <v>62.311462043514517</v>
      </c>
      <c r="X7" s="8">
        <f>(J7*1000)/SUM('Population Figures'!$L9)</f>
        <v>5.5862863083535874</v>
      </c>
      <c r="Y7" s="7">
        <f>(K7*1000)/SUM('Population Figures'!$L9)</f>
        <v>0</v>
      </c>
      <c r="Z7" s="7">
        <f>(L7*1000)/SUM('Population Figures'!$L9)</f>
        <v>0</v>
      </c>
      <c r="AA7" s="7">
        <f>(M7*1000)/SUM('Population Figures'!$L9)</f>
        <v>44.09042079613301</v>
      </c>
    </row>
    <row r="8" spans="1:27">
      <c r="A8" s="7" t="s">
        <v>36</v>
      </c>
      <c r="B8" s="8">
        <f t="shared" si="1"/>
        <v>99607.849529668456</v>
      </c>
      <c r="C8" s="7">
        <f t="shared" ref="C8:M8" si="6">C50*$E$39</f>
        <v>1509.1575163632463</v>
      </c>
      <c r="D8" s="8">
        <f t="shared" si="6"/>
        <v>135.83568797167283</v>
      </c>
      <c r="E8" s="8">
        <f t="shared" si="6"/>
        <v>19467.095926177619</v>
      </c>
      <c r="F8" s="7">
        <f t="shared" si="6"/>
        <v>49059.706355735187</v>
      </c>
      <c r="G8" s="8">
        <f t="shared" si="6"/>
        <v>7028.9212775850356</v>
      </c>
      <c r="H8" s="8">
        <f t="shared" si="6"/>
        <v>14362.897278157303</v>
      </c>
      <c r="I8" s="8">
        <f t="shared" si="6"/>
        <v>4208.6040273257277</v>
      </c>
      <c r="J8" s="8">
        <f t="shared" si="6"/>
        <v>504.20365535248044</v>
      </c>
      <c r="K8" s="7">
        <f t="shared" si="6"/>
        <v>0</v>
      </c>
      <c r="L8" s="7">
        <f t="shared" si="6"/>
        <v>1.1511498980650239</v>
      </c>
      <c r="M8" s="7">
        <f t="shared" si="6"/>
        <v>3330.2766551021141</v>
      </c>
      <c r="O8" s="7" t="s">
        <v>36</v>
      </c>
      <c r="P8" s="8">
        <f>(B8*1000)/SUM('Population Figures'!$K10:$M10)</f>
        <v>672.88961379226134</v>
      </c>
      <c r="Q8" s="7">
        <f>(C8*1000)/SUM('Population Figures'!$K10:$M10)</f>
        <v>10.194943703055099</v>
      </c>
      <c r="R8" s="8">
        <f>(D8*1000)/SUM('Population Figures'!$K10)</f>
        <v>4.6273441652758587</v>
      </c>
      <c r="S8" s="8">
        <f>(E8*1000)/SUM('Population Figures'!$K10)</f>
        <v>663.16116253372911</v>
      </c>
      <c r="T8" s="7">
        <f>(F8*1000)/SUM('Population Figures'!$M10)</f>
        <v>1606.1978246377419</v>
      </c>
      <c r="U8" s="8">
        <f>(G8*1000)/SUM('Population Figures'!$L10)</f>
        <v>79.75537867021859</v>
      </c>
      <c r="V8" s="8">
        <f>(H8*1000)/SUM('Population Figures'!$L10)</f>
        <v>162.97213555000286</v>
      </c>
      <c r="W8" s="8">
        <f>(I8*1000)/SUM('Population Figures'!$L10)</f>
        <v>47.753957487441738</v>
      </c>
      <c r="X8" s="8">
        <f>(J8*1000)/SUM('Population Figures'!$L10)</f>
        <v>5.7210703992066403</v>
      </c>
      <c r="Y8" s="7">
        <f>(K8*1000)/SUM('Population Figures'!$L10)</f>
        <v>0</v>
      </c>
      <c r="Z8" s="7">
        <f>(L8*1000)/SUM('Population Figures'!$L10)</f>
        <v>1.3061804564398724E-2</v>
      </c>
      <c r="AA8" s="7">
        <f>(M8*1000)/SUM('Population Figures'!$L10)</f>
        <v>37.787800604805504</v>
      </c>
    </row>
    <row r="9" spans="1:27">
      <c r="A9" s="7" t="s">
        <v>37</v>
      </c>
      <c r="B9" s="8">
        <f t="shared" si="1"/>
        <v>102644.58296076399</v>
      </c>
      <c r="C9" s="7">
        <f t="shared" ref="C9:M9" si="7">C51*$E$39</f>
        <v>905.9549697771738</v>
      </c>
      <c r="D9" s="8">
        <f t="shared" si="7"/>
        <v>270.52022604528059</v>
      </c>
      <c r="E9" s="8">
        <f t="shared" si="7"/>
        <v>27906.175828892308</v>
      </c>
      <c r="F9" s="7">
        <f t="shared" si="7"/>
        <v>44077.529596909764</v>
      </c>
      <c r="G9" s="8">
        <f t="shared" si="7"/>
        <v>7196.989162702529</v>
      </c>
      <c r="H9" s="8">
        <f t="shared" si="7"/>
        <v>12350.687256339641</v>
      </c>
      <c r="I9" s="8">
        <f t="shared" si="7"/>
        <v>3334.8812546943741</v>
      </c>
      <c r="J9" s="8">
        <f t="shared" si="7"/>
        <v>676.87614006223407</v>
      </c>
      <c r="K9" s="7">
        <f t="shared" si="7"/>
        <v>237.13687900139493</v>
      </c>
      <c r="L9" s="7">
        <f t="shared" si="7"/>
        <v>0</v>
      </c>
      <c r="M9" s="7">
        <f t="shared" si="7"/>
        <v>5687.831646339283</v>
      </c>
      <c r="O9" s="7" t="s">
        <v>37</v>
      </c>
      <c r="P9" s="8">
        <f>(B9*1000)/SUM('Population Figures'!$K11:$M11)</f>
        <v>721.98482774681008</v>
      </c>
      <c r="Q9" s="7">
        <f>(C9*1000)/SUM('Population Figures'!$K11:$M11)</f>
        <v>6.3723357232691411</v>
      </c>
      <c r="R9" s="8">
        <f>(D9*1000)/SUM('Population Figures'!$K11)</f>
        <v>9.9233419920502026</v>
      </c>
      <c r="S9" s="8">
        <f>(E9*1000)/SUM('Population Figures'!$K11)</f>
        <v>1023.6666237075789</v>
      </c>
      <c r="T9" s="7">
        <f>(F9*1000)/SUM('Population Figures'!$M11)</f>
        <v>1720.9717943506857</v>
      </c>
      <c r="U9" s="8">
        <f>(G9*1000)/SUM('Population Figures'!$L11)</f>
        <v>80.596091276330995</v>
      </c>
      <c r="V9" s="8">
        <f>(H9*1000)/SUM('Population Figures'!$L11)</f>
        <v>138.3102148598457</v>
      </c>
      <c r="W9" s="8">
        <f>(I9*1000)/SUM('Population Figures'!$L11)</f>
        <v>37.345949524557085</v>
      </c>
      <c r="X9" s="8">
        <f>(J9*1000)/SUM('Population Figures'!$L11)</f>
        <v>7.5800546497892878</v>
      </c>
      <c r="Y9" s="7">
        <f>(K9*1000)/SUM('Population Figures'!$L11)</f>
        <v>2.6555973773071315</v>
      </c>
      <c r="Z9" s="7">
        <f>(L9*1000)/SUM('Population Figures'!$L11)</f>
        <v>0</v>
      </c>
      <c r="AA9" s="7">
        <f>(M9*1000)/SUM('Population Figures'!$L11)</f>
        <v>63.69566330715795</v>
      </c>
    </row>
    <row r="10" spans="1:27">
      <c r="A10" s="7" t="s">
        <v>38</v>
      </c>
      <c r="B10" s="8">
        <f t="shared" si="1"/>
        <v>82546.656890446728</v>
      </c>
      <c r="C10" s="7">
        <f t="shared" ref="C10:M10" si="8">C52*$E$39</f>
        <v>621.62094495511292</v>
      </c>
      <c r="D10" s="8">
        <f t="shared" si="8"/>
        <v>162.31213562716837</v>
      </c>
      <c r="E10" s="8">
        <f t="shared" si="8"/>
        <v>15888.17089309346</v>
      </c>
      <c r="F10" s="7">
        <f t="shared" si="8"/>
        <v>40415.721771164921</v>
      </c>
      <c r="G10" s="8">
        <f t="shared" si="8"/>
        <v>4543.5886476626492</v>
      </c>
      <c r="H10" s="8">
        <f t="shared" si="8"/>
        <v>14597.731857362567</v>
      </c>
      <c r="I10" s="8">
        <f t="shared" si="8"/>
        <v>2986.0828355806721</v>
      </c>
      <c r="J10" s="8">
        <f t="shared" si="8"/>
        <v>233.68342930719984</v>
      </c>
      <c r="K10" s="7">
        <f t="shared" si="8"/>
        <v>0</v>
      </c>
      <c r="L10" s="7">
        <f t="shared" si="8"/>
        <v>0</v>
      </c>
      <c r="M10" s="7">
        <f t="shared" si="8"/>
        <v>3097.7443756929792</v>
      </c>
      <c r="O10" s="7" t="s">
        <v>38</v>
      </c>
      <c r="P10" s="8">
        <f>(B10*1000)/SUM('Population Figures'!$K12:$M12)</f>
        <v>691.9830404094788</v>
      </c>
      <c r="Q10" s="7">
        <f>(C10*1000)/SUM('Population Figures'!$K12:$M12)</f>
        <v>5.2110063287376382</v>
      </c>
      <c r="R10" s="8">
        <f>(D10*1000)/SUM('Population Figures'!$K12)</f>
        <v>6.4180362051074882</v>
      </c>
      <c r="S10" s="8">
        <f>(E10*1000)/SUM('Population Figures'!$K12)</f>
        <v>628.23926030420955</v>
      </c>
      <c r="T10" s="7">
        <f>(F10*1000)/SUM('Population Figures'!$M12)</f>
        <v>2019.5743439518751</v>
      </c>
      <c r="U10" s="8">
        <f>(G10*1000)/SUM('Population Figures'!$L12)</f>
        <v>61.409804936782301</v>
      </c>
      <c r="V10" s="8">
        <f>(H10*1000)/SUM('Population Figures'!$L12)</f>
        <v>197.29864109534745</v>
      </c>
      <c r="W10" s="8">
        <f>(I10*1000)/SUM('Population Figures'!$L12)</f>
        <v>40.359015456299296</v>
      </c>
      <c r="X10" s="8">
        <f>(J10*1000)/SUM('Population Figures'!$L12)</f>
        <v>3.1583963522084639</v>
      </c>
      <c r="Y10" s="7">
        <f>(K10*1000)/SUM('Population Figures'!$L12)</f>
        <v>0</v>
      </c>
      <c r="Z10" s="7">
        <f>(L10*1000)/SUM('Population Figures'!$L12)</f>
        <v>0</v>
      </c>
      <c r="AA10" s="7">
        <f>(M10*1000)/SUM('Population Figures'!$L12)</f>
        <v>41.868199920162454</v>
      </c>
    </row>
    <row r="11" spans="1:27">
      <c r="A11" s="7" t="s">
        <v>39</v>
      </c>
      <c r="B11" s="8">
        <f t="shared" si="1"/>
        <v>53431.773668586146</v>
      </c>
      <c r="C11" s="7">
        <f t="shared" ref="C11:M11" si="9">C53*$E$39</f>
        <v>1031.4303086662615</v>
      </c>
      <c r="D11" s="8">
        <f t="shared" si="9"/>
        <v>0</v>
      </c>
      <c r="E11" s="8">
        <f t="shared" si="9"/>
        <v>10885.273436102865</v>
      </c>
      <c r="F11" s="7">
        <f t="shared" si="9"/>
        <v>23391.365928681284</v>
      </c>
      <c r="G11" s="8">
        <f t="shared" si="9"/>
        <v>3072.4190779355486</v>
      </c>
      <c r="H11" s="8">
        <f t="shared" si="9"/>
        <v>10783.972245073144</v>
      </c>
      <c r="I11" s="8">
        <f t="shared" si="9"/>
        <v>3063.2098787510286</v>
      </c>
      <c r="J11" s="8">
        <f t="shared" si="9"/>
        <v>599.74909689187746</v>
      </c>
      <c r="K11" s="7">
        <f t="shared" si="9"/>
        <v>0</v>
      </c>
      <c r="L11" s="7">
        <f t="shared" si="9"/>
        <v>0</v>
      </c>
      <c r="M11" s="7">
        <f t="shared" si="9"/>
        <v>604.35369648413757</v>
      </c>
      <c r="O11" s="7" t="s">
        <v>39</v>
      </c>
      <c r="P11" s="8">
        <f>(B11*1000)/SUM('Population Figures'!$K13:$M13)</f>
        <v>506.65440611213864</v>
      </c>
      <c r="Q11" s="7">
        <f>(C11*1000)/SUM('Population Figures'!$K13:$M13)</f>
        <v>9.7802987736228104</v>
      </c>
      <c r="R11" s="8">
        <f>(D11*1000)/SUM('Population Figures'!$K13)</f>
        <v>0</v>
      </c>
      <c r="S11" s="8">
        <f>(E11*1000)/SUM('Population Figures'!$K13)</f>
        <v>474.48992790649339</v>
      </c>
      <c r="T11" s="7">
        <f>(F11*1000)/SUM('Population Figures'!$M13)</f>
        <v>1264.2614813901894</v>
      </c>
      <c r="U11" s="8">
        <f>(G11*1000)/SUM('Population Figures'!$L13)</f>
        <v>47.993799739687091</v>
      </c>
      <c r="V11" s="8">
        <f>(H11*1000)/SUM('Population Figures'!$L13)</f>
        <v>168.4548205175679</v>
      </c>
      <c r="W11" s="8">
        <f>(I11*1000)/SUM('Population Figures'!$L13)</f>
        <v>47.849944214052961</v>
      </c>
      <c r="X11" s="8">
        <f>(J11*1000)/SUM('Population Figures'!$L13)</f>
        <v>9.3685911069228087</v>
      </c>
      <c r="Y11" s="7">
        <f>(K11*1000)/SUM('Population Figures'!$L13)</f>
        <v>0</v>
      </c>
      <c r="Z11" s="7">
        <f>(L11*1000)/SUM('Population Figures'!$L13)</f>
        <v>0</v>
      </c>
      <c r="AA11" s="7">
        <f>(M11*1000)/SUM('Population Figures'!$L13)</f>
        <v>9.4405188697398739</v>
      </c>
    </row>
    <row r="12" spans="1:27">
      <c r="A12" s="7" t="s">
        <v>40</v>
      </c>
      <c r="B12" s="8">
        <f t="shared" si="1"/>
        <v>64635.915626453025</v>
      </c>
      <c r="C12" s="7">
        <f t="shared" ref="C12:M12" si="10">C54*$E$39</f>
        <v>878.32737222361322</v>
      </c>
      <c r="D12" s="8">
        <f t="shared" si="10"/>
        <v>70.220143781966456</v>
      </c>
      <c r="E12" s="8">
        <f t="shared" si="10"/>
        <v>11617.40477127222</v>
      </c>
      <c r="F12" s="7">
        <f t="shared" si="10"/>
        <v>28952.571086233416</v>
      </c>
      <c r="G12" s="8">
        <f t="shared" si="10"/>
        <v>4613.808791444616</v>
      </c>
      <c r="H12" s="8">
        <f t="shared" si="10"/>
        <v>14550.534711541903</v>
      </c>
      <c r="I12" s="8">
        <f t="shared" si="10"/>
        <v>2233.2308022461461</v>
      </c>
      <c r="J12" s="8">
        <f t="shared" si="10"/>
        <v>870.26932293715811</v>
      </c>
      <c r="K12" s="7">
        <f t="shared" si="10"/>
        <v>0</v>
      </c>
      <c r="L12" s="7">
        <f t="shared" si="10"/>
        <v>0</v>
      </c>
      <c r="M12" s="7">
        <f t="shared" si="10"/>
        <v>849.54862477198765</v>
      </c>
      <c r="O12" s="7" t="s">
        <v>40</v>
      </c>
      <c r="P12" s="8">
        <f>(B12*1000)/SUM('Population Figures'!$K14:$M14)</f>
        <v>696.28262012768528</v>
      </c>
      <c r="Q12" s="7">
        <f>(C12*1000)/SUM('Population Figures'!$K14:$M14)</f>
        <v>9.46167588305088</v>
      </c>
      <c r="R12" s="8">
        <f>(D12*1000)/SUM('Population Figures'!$K14)</f>
        <v>3.3633558665564927</v>
      </c>
      <c r="S12" s="8">
        <f>(E12*1000)/SUM('Population Figures'!$K14)</f>
        <v>556.44241648013315</v>
      </c>
      <c r="T12" s="7">
        <f>(F12*1000)/SUM('Population Figures'!$M14)</f>
        <v>1758.9654365876922</v>
      </c>
      <c r="U12" s="8">
        <f>(G12*1000)/SUM('Population Figures'!$L14)</f>
        <v>83.143674609756658</v>
      </c>
      <c r="V12" s="8">
        <f>(H12*1000)/SUM('Population Figures'!$L14)</f>
        <v>262.20959258166766</v>
      </c>
      <c r="W12" s="8">
        <f>(I12*1000)/SUM('Population Figures'!$L14)</f>
        <v>40.244193798135704</v>
      </c>
      <c r="X12" s="8">
        <f>(J12*1000)/SUM('Population Figures'!$L14)</f>
        <v>15.682788923397212</v>
      </c>
      <c r="Y12" s="7">
        <f>(K12*1000)/SUM('Population Figures'!$L14)</f>
        <v>0</v>
      </c>
      <c r="Z12" s="7">
        <f>(L12*1000)/SUM('Population Figures'!$L14)</f>
        <v>0</v>
      </c>
      <c r="AA12" s="7">
        <f>(M12*1000)/SUM('Population Figures'!$L14)</f>
        <v>15.30938918712585</v>
      </c>
    </row>
    <row r="13" spans="1:27">
      <c r="A13" s="7" t="s">
        <v>41</v>
      </c>
      <c r="B13" s="8">
        <f t="shared" si="1"/>
        <v>45702.953252977575</v>
      </c>
      <c r="C13" s="7">
        <f t="shared" ref="C13:M13" si="11">C55*$E$39</f>
        <v>1501.0994670767911</v>
      </c>
      <c r="D13" s="8">
        <f t="shared" si="11"/>
        <v>0</v>
      </c>
      <c r="E13" s="8">
        <f t="shared" si="11"/>
        <v>5775.3190385922244</v>
      </c>
      <c r="F13" s="7">
        <f t="shared" si="11"/>
        <v>18373.503523015846</v>
      </c>
      <c r="G13" s="8">
        <f t="shared" si="11"/>
        <v>7895.7371508279984</v>
      </c>
      <c r="H13" s="8">
        <f t="shared" si="11"/>
        <v>8273.3143173933258</v>
      </c>
      <c r="I13" s="8">
        <f t="shared" si="11"/>
        <v>984.23316284559542</v>
      </c>
      <c r="J13" s="8">
        <f t="shared" si="11"/>
        <v>1425.1235738044995</v>
      </c>
      <c r="K13" s="7">
        <f t="shared" si="11"/>
        <v>0</v>
      </c>
      <c r="L13" s="7">
        <f t="shared" si="11"/>
        <v>9.209199184520191</v>
      </c>
      <c r="M13" s="7">
        <f t="shared" si="11"/>
        <v>1465.4138202367753</v>
      </c>
      <c r="O13" s="7" t="s">
        <v>41</v>
      </c>
      <c r="P13" s="8">
        <f>(B13*1000)/SUM('Population Figures'!$K15:$M15)</f>
        <v>511.848507704979</v>
      </c>
      <c r="Q13" s="7">
        <f>(C13*1000)/SUM('Population Figures'!$K15:$M15)</f>
        <v>16.811507078920272</v>
      </c>
      <c r="R13" s="8">
        <f>(D13*1000)/SUM('Population Figures'!$K15)</f>
        <v>0</v>
      </c>
      <c r="S13" s="8">
        <f>(E13*1000)/SUM('Population Figures'!$K15)</f>
        <v>276.83438973215533</v>
      </c>
      <c r="T13" s="7">
        <f>(F13*1000)/SUM('Population Figures'!$M15)</f>
        <v>1205.0569635348493</v>
      </c>
      <c r="U13" s="8">
        <f>(G13*1000)/SUM('Population Figures'!$L15)</f>
        <v>148.46913654929389</v>
      </c>
      <c r="V13" s="8">
        <f>(H13*1000)/SUM('Population Figures'!$L15)</f>
        <v>155.56898737130416</v>
      </c>
      <c r="W13" s="8">
        <f>(I13*1000)/SUM('Population Figures'!$L15)</f>
        <v>18.507233087862119</v>
      </c>
      <c r="X13" s="8">
        <f>(J13*1000)/SUM('Population Figures'!$L15)</f>
        <v>26.79760767575825</v>
      </c>
      <c r="Y13" s="7">
        <f>(K13*1000)/SUM('Population Figures'!$L15)</f>
        <v>0</v>
      </c>
      <c r="Z13" s="7">
        <f>(L13*1000)/SUM('Population Figures'!$L15)</f>
        <v>0.17316709321976254</v>
      </c>
      <c r="AA13" s="7">
        <f>(M13*1000)/SUM('Population Figures'!$L15)</f>
        <v>27.55521370859471</v>
      </c>
    </row>
    <row r="14" spans="1:27">
      <c r="A14" s="7" t="s">
        <v>140</v>
      </c>
      <c r="B14" s="8">
        <f t="shared" si="1"/>
        <v>323216.41492900322</v>
      </c>
      <c r="C14" s="7">
        <f t="shared" ref="C14:M14" si="12">C56*$E$39</f>
        <v>1800.3984405736974</v>
      </c>
      <c r="D14" s="8">
        <f t="shared" si="12"/>
        <v>212.96273114202941</v>
      </c>
      <c r="E14" s="8">
        <f t="shared" si="12"/>
        <v>79328.041775456921</v>
      </c>
      <c r="F14" s="7">
        <f t="shared" si="12"/>
        <v>139551.59984262672</v>
      </c>
      <c r="G14" s="8">
        <f t="shared" si="12"/>
        <v>21740.616974856042</v>
      </c>
      <c r="H14" s="8">
        <f t="shared" si="12"/>
        <v>45117.01795486248</v>
      </c>
      <c r="I14" s="8">
        <f t="shared" si="12"/>
        <v>13408.594012661399</v>
      </c>
      <c r="J14" s="8">
        <f t="shared" si="12"/>
        <v>4725.4703315569232</v>
      </c>
      <c r="K14" s="7">
        <f t="shared" si="12"/>
        <v>2095.0928144783434</v>
      </c>
      <c r="L14" s="7">
        <f t="shared" si="12"/>
        <v>254.40412747237028</v>
      </c>
      <c r="M14" s="7">
        <f t="shared" si="12"/>
        <v>14982.215923316286</v>
      </c>
      <c r="O14" s="7" t="s">
        <v>140</v>
      </c>
      <c r="P14" s="8">
        <f>(B14*1000)/SUM('Population Figures'!$K16:$M16)</f>
        <v>697.32349880046434</v>
      </c>
      <c r="Q14" s="7">
        <f>(C14*1000)/SUM('Population Figures'!$K16:$M16)</f>
        <v>3.8842709770527009</v>
      </c>
      <c r="R14" s="8">
        <f>(D14*1000)/SUM('Population Figures'!$K16)</f>
        <v>2.6577485197872108</v>
      </c>
      <c r="S14" s="8">
        <f>(E14*1000)/SUM('Population Figures'!$K16)</f>
        <v>990.00414051662847</v>
      </c>
      <c r="T14" s="7">
        <f>(F14*1000)/SUM('Population Figures'!$M16)</f>
        <v>2040.2578962064756</v>
      </c>
      <c r="U14" s="8">
        <f>(G14*1000)/SUM('Population Figures'!$L16)</f>
        <v>69.021775767682101</v>
      </c>
      <c r="V14" s="8">
        <f>(H14*1000)/SUM('Population Figures'!$L16)</f>
        <v>143.23681338889995</v>
      </c>
      <c r="W14" s="8">
        <f>(I14*1000)/SUM('Population Figures'!$L16)</f>
        <v>42.569397656568945</v>
      </c>
      <c r="X14" s="8">
        <f>(J14*1000)/SUM('Population Figures'!$L16)</f>
        <v>15.00235039321905</v>
      </c>
      <c r="Y14" s="7">
        <f>(K14*1000)/SUM('Population Figures'!$L16)</f>
        <v>6.651468383838897</v>
      </c>
      <c r="Z14" s="7">
        <f>(L14*1000)/SUM('Population Figures'!$L16)</f>
        <v>0.80767830375186611</v>
      </c>
      <c r="AA14" s="7">
        <f>(M14*1000)/SUM('Population Figures'!$L16)</f>
        <v>47.565308250364417</v>
      </c>
    </row>
    <row r="15" spans="1:27">
      <c r="A15" s="7" t="s">
        <v>42</v>
      </c>
      <c r="B15" s="8">
        <f t="shared" si="1"/>
        <v>23713.687900139492</v>
      </c>
      <c r="C15" s="7">
        <f t="shared" ref="C15:M15" si="13">C57*$E$39</f>
        <v>463.91340892020463</v>
      </c>
      <c r="D15" s="8">
        <f t="shared" si="13"/>
        <v>50.650595514861052</v>
      </c>
      <c r="E15" s="8">
        <f t="shared" si="13"/>
        <v>2743.1902070889519</v>
      </c>
      <c r="F15" s="7">
        <f t="shared" si="13"/>
        <v>14780.764691154907</v>
      </c>
      <c r="G15" s="8">
        <f t="shared" si="13"/>
        <v>1098.1970027540328</v>
      </c>
      <c r="H15" s="8">
        <f t="shared" si="13"/>
        <v>3104.6512750813695</v>
      </c>
      <c r="I15" s="8">
        <f t="shared" si="13"/>
        <v>1032.5814585643263</v>
      </c>
      <c r="J15" s="8">
        <f t="shared" si="13"/>
        <v>70.220143781966456</v>
      </c>
      <c r="K15" s="7">
        <f t="shared" si="13"/>
        <v>0</v>
      </c>
      <c r="L15" s="7">
        <f t="shared" si="13"/>
        <v>0</v>
      </c>
      <c r="M15" s="7">
        <f t="shared" si="13"/>
        <v>369.51911727887267</v>
      </c>
      <c r="O15" s="7" t="s">
        <v>42</v>
      </c>
      <c r="P15" s="8">
        <f>(B15*1000)/SUM('Population Figures'!$K17:$M17)</f>
        <v>899.95020493888012</v>
      </c>
      <c r="Q15" s="7">
        <f>(C15*1000)/SUM('Population Figures'!$K17:$M17)</f>
        <v>17.605821970406247</v>
      </c>
      <c r="R15" s="8">
        <f>(D15*1000)/SUM('Population Figures'!$K17)</f>
        <v>9.4515013089869484</v>
      </c>
      <c r="S15" s="8">
        <f>(E15*1000)/SUM('Population Figures'!$K17)</f>
        <v>511.88471862081582</v>
      </c>
      <c r="T15" s="7">
        <f>(F15*1000)/SUM('Population Figures'!$M17)</f>
        <v>2732.1191665720717</v>
      </c>
      <c r="U15" s="8">
        <f>(G15*1000)/SUM('Population Figures'!$L17)</f>
        <v>70.483088553625109</v>
      </c>
      <c r="V15" s="8">
        <f>(H15*1000)/SUM('Population Figures'!$L17)</f>
        <v>199.25879437015399</v>
      </c>
      <c r="W15" s="8">
        <f>(I15*1000)/SUM('Population Figures'!$L17)</f>
        <v>66.271834835012271</v>
      </c>
      <c r="X15" s="8">
        <f>(J15*1000)/SUM('Population Figures'!$L17)</f>
        <v>4.5067802953575802</v>
      </c>
      <c r="Y15" s="7">
        <f>(K15*1000)/SUM('Population Figures'!$L17)</f>
        <v>0</v>
      </c>
      <c r="Z15" s="7">
        <f>(L15*1000)/SUM('Population Figures'!$L17)</f>
        <v>0</v>
      </c>
      <c r="AA15" s="7">
        <f>(M15*1000)/SUM('Population Figures'!$L17)</f>
        <v>23.716007783766941</v>
      </c>
    </row>
    <row r="16" spans="1:27">
      <c r="A16" s="7" t="s">
        <v>43</v>
      </c>
      <c r="B16" s="8">
        <f t="shared" si="1"/>
        <v>93659.85800636647</v>
      </c>
      <c r="C16" s="7">
        <f t="shared" ref="C16:M16" si="14">C58*$E$39</f>
        <v>193.39318287492401</v>
      </c>
      <c r="D16" s="8">
        <f t="shared" si="14"/>
        <v>67.917843985836413</v>
      </c>
      <c r="E16" s="8">
        <f t="shared" si="14"/>
        <v>24174.147859365501</v>
      </c>
      <c r="F16" s="7">
        <f t="shared" si="14"/>
        <v>42849.252655674383</v>
      </c>
      <c r="G16" s="8">
        <f t="shared" si="14"/>
        <v>6806.7493472584865</v>
      </c>
      <c r="H16" s="8">
        <f t="shared" si="14"/>
        <v>13103.539289674167</v>
      </c>
      <c r="I16" s="8">
        <f t="shared" si="14"/>
        <v>3572.0181336957689</v>
      </c>
      <c r="J16" s="8">
        <f t="shared" si="14"/>
        <v>279.72942522980082</v>
      </c>
      <c r="K16" s="7">
        <f t="shared" si="14"/>
        <v>1.1511498980650239</v>
      </c>
      <c r="L16" s="7">
        <f t="shared" si="14"/>
        <v>0</v>
      </c>
      <c r="M16" s="7">
        <f t="shared" si="14"/>
        <v>2611.9591187095393</v>
      </c>
      <c r="O16" s="7" t="s">
        <v>43</v>
      </c>
      <c r="P16" s="8">
        <f>(B16*1000)/SUM('Population Figures'!$K18:$M18)</f>
        <v>625.7339524743885</v>
      </c>
      <c r="Q16" s="7">
        <f>(C16*1000)/SUM('Population Figures'!$K18:$M18)</f>
        <v>1.2920442468928648</v>
      </c>
      <c r="R16" s="8">
        <f>(D16*1000)/SUM('Population Figures'!$K18)</f>
        <v>2.1267525907573637</v>
      </c>
      <c r="S16" s="8">
        <f>(E16*1000)/SUM('Population Figures'!$K18)</f>
        <v>756.97973569329895</v>
      </c>
      <c r="T16" s="7">
        <f>(F16*1000)/SUM('Population Figures'!$M18)</f>
        <v>1814.3393596000501</v>
      </c>
      <c r="U16" s="8">
        <f>(G16*1000)/SUM('Population Figures'!$L18)</f>
        <v>72.313757301318276</v>
      </c>
      <c r="V16" s="8">
        <f>(H16*1000)/SUM('Population Figures'!$L18)</f>
        <v>139.2097918756817</v>
      </c>
      <c r="W16" s="8">
        <f>(I16*1000)/SUM('Population Figures'!$L18)</f>
        <v>37.948518333500864</v>
      </c>
      <c r="X16" s="8">
        <f>(J16*1000)/SUM('Population Figures'!$L18)</f>
        <v>2.971798245259655</v>
      </c>
      <c r="Y16" s="7">
        <f>(K16*1000)/SUM('Population Figures'!$L18)</f>
        <v>1.2229622408475948E-2</v>
      </c>
      <c r="Z16" s="7">
        <f>(L16*1000)/SUM('Population Figures'!$L18)</f>
        <v>0</v>
      </c>
      <c r="AA16" s="7">
        <f>(M16*1000)/SUM('Population Figures'!$L18)</f>
        <v>27.749013244831925</v>
      </c>
    </row>
    <row r="17" spans="1:27">
      <c r="A17" s="7" t="s">
        <v>44</v>
      </c>
      <c r="B17" s="8">
        <f t="shared" si="1"/>
        <v>216450.71533316644</v>
      </c>
      <c r="C17" s="7">
        <f t="shared" ref="C17:M17" si="15">C59*$E$39</f>
        <v>1661.1093029078295</v>
      </c>
      <c r="D17" s="8">
        <f t="shared" si="15"/>
        <v>242.89262849172005</v>
      </c>
      <c r="E17" s="8">
        <f t="shared" si="15"/>
        <v>39661.71858793233</v>
      </c>
      <c r="F17" s="7">
        <f t="shared" si="15"/>
        <v>99963.554848170548</v>
      </c>
      <c r="G17" s="8">
        <f t="shared" si="15"/>
        <v>20369.597446260599</v>
      </c>
      <c r="H17" s="8">
        <f t="shared" si="15"/>
        <v>38721.229121213211</v>
      </c>
      <c r="I17" s="8">
        <f t="shared" si="15"/>
        <v>7758.750312958261</v>
      </c>
      <c r="J17" s="8">
        <f t="shared" si="15"/>
        <v>980.7797131514003</v>
      </c>
      <c r="K17" s="7">
        <f t="shared" si="15"/>
        <v>113.96383990843736</v>
      </c>
      <c r="L17" s="7">
        <f t="shared" si="15"/>
        <v>0</v>
      </c>
      <c r="M17" s="7">
        <f t="shared" si="15"/>
        <v>6977.1195321721098</v>
      </c>
      <c r="O17" s="7" t="s">
        <v>44</v>
      </c>
      <c r="P17" s="8">
        <f>(B17*1000)/SUM('Population Figures'!$K19:$M19)</f>
        <v>603.04436891083628</v>
      </c>
      <c r="Q17" s="7">
        <f>(C17*1000)/SUM('Population Figures'!$K19:$M19)</f>
        <v>4.6279477973639134</v>
      </c>
      <c r="R17" s="8">
        <f>(D17*1000)/SUM('Population Figures'!$K19)</f>
        <v>3.247357895259436</v>
      </c>
      <c r="S17" s="8">
        <f>(E17*1000)/SUM('Population Figures'!$K19)</f>
        <v>530.2581465557754</v>
      </c>
      <c r="T17" s="7">
        <f>(F17*1000)/SUM('Population Figures'!$M19)</f>
        <v>1670.5139513397485</v>
      </c>
      <c r="U17" s="8">
        <f>(G17*1000)/SUM('Population Figures'!$L19)</f>
        <v>90.816911121883422</v>
      </c>
      <c r="V17" s="8">
        <f>(H17*1000)/SUM('Population Figures'!$L19)</f>
        <v>172.63681488594477</v>
      </c>
      <c r="W17" s="8">
        <f>(I17*1000)/SUM('Population Figures'!$L19)</f>
        <v>34.592030571432282</v>
      </c>
      <c r="X17" s="8">
        <f>(J17*1000)/SUM('Population Figures'!$L19)</f>
        <v>4.3727611345490063</v>
      </c>
      <c r="Y17" s="7">
        <f>(K17*1000)/SUM('Population Figures'!$L19)</f>
        <v>0.50810252619759588</v>
      </c>
      <c r="Z17" s="7">
        <f>(L17*1000)/SUM('Population Figures'!$L19)</f>
        <v>0</v>
      </c>
      <c r="AA17" s="7">
        <f>(M17*1000)/SUM('Population Figures'!$L19)</f>
        <v>31.107165770541702</v>
      </c>
    </row>
    <row r="18" spans="1:27">
      <c r="A18" s="7" t="s">
        <v>45</v>
      </c>
      <c r="B18" s="8">
        <f t="shared" si="1"/>
        <v>541026.63829178445</v>
      </c>
      <c r="C18" s="7">
        <f t="shared" ref="C18:M18" si="16">C60*$E$39</f>
        <v>2491.0883794127117</v>
      </c>
      <c r="D18" s="8">
        <f t="shared" si="16"/>
        <v>404.05361422082336</v>
      </c>
      <c r="E18" s="8">
        <f t="shared" si="16"/>
        <v>135311.91476805322</v>
      </c>
      <c r="F18" s="7">
        <f t="shared" si="16"/>
        <v>210680.00089416647</v>
      </c>
      <c r="G18" s="8">
        <f t="shared" si="16"/>
        <v>48169.867484530922</v>
      </c>
      <c r="H18" s="8">
        <f t="shared" si="16"/>
        <v>77442.458242426423</v>
      </c>
      <c r="I18" s="8">
        <f t="shared" si="16"/>
        <v>26935.756464823495</v>
      </c>
      <c r="J18" s="8">
        <f t="shared" si="16"/>
        <v>16166.749168425195</v>
      </c>
      <c r="K18" s="7">
        <f t="shared" si="16"/>
        <v>52.952895310991096</v>
      </c>
      <c r="L18" s="7">
        <f t="shared" si="16"/>
        <v>2220.568153367431</v>
      </c>
      <c r="M18" s="7">
        <f t="shared" si="16"/>
        <v>21151.228227046748</v>
      </c>
      <c r="O18" s="7" t="s">
        <v>45</v>
      </c>
      <c r="P18" s="8">
        <f>(B18*1000)/SUM('Population Figures'!$K20:$M20)</f>
        <v>931.69615163303035</v>
      </c>
      <c r="Q18" s="7">
        <f>(C18*1000)/SUM('Population Figures'!$K20:$M20)</f>
        <v>4.2898764907484397</v>
      </c>
      <c r="R18" s="8">
        <f>(D18*1000)/SUM('Population Figures'!$K20)</f>
        <v>3.6322037919205274</v>
      </c>
      <c r="S18" s="8">
        <f>(E18*1000)/SUM('Population Figures'!$K20)</f>
        <v>1216.3743439353234</v>
      </c>
      <c r="T18" s="7">
        <f>(F18*1000)/SUM('Population Figures'!$M20)</f>
        <v>2494.1694692036899</v>
      </c>
      <c r="U18" s="8">
        <f>(G18*1000)/SUM('Population Figures'!$L20)</f>
        <v>125.12336383161399</v>
      </c>
      <c r="V18" s="8">
        <f>(H18*1000)/SUM('Population Figures'!$L20)</f>
        <v>201.16021456346041</v>
      </c>
      <c r="W18" s="8">
        <f>(I18*1000)/SUM('Population Figures'!$L20)</f>
        <v>69.966820176745998</v>
      </c>
      <c r="X18" s="8">
        <f>(J18*1000)/SUM('Population Figures'!$L20)</f>
        <v>41.993846855088705</v>
      </c>
      <c r="Y18" s="7">
        <f>(K18*1000)/SUM('Population Figures'!$L20)</f>
        <v>0.13754749041114214</v>
      </c>
      <c r="Z18" s="7">
        <f>(L18*1000)/SUM('Population Figures'!$L20)</f>
        <v>5.7680241087628961</v>
      </c>
      <c r="AA18" s="7">
        <f>(M18*1000)/SUM('Population Figures'!$L20)</f>
        <v>54.941251930746212</v>
      </c>
    </row>
    <row r="19" spans="1:27">
      <c r="A19" s="7" t="s">
        <v>46</v>
      </c>
      <c r="B19" s="8">
        <f t="shared" si="1"/>
        <v>128418.82917843988</v>
      </c>
      <c r="C19" s="7">
        <f t="shared" ref="C19:M19" si="17">C61*$E$39</f>
        <v>459.30880932794452</v>
      </c>
      <c r="D19" s="8">
        <f t="shared" si="17"/>
        <v>132.38223827747774</v>
      </c>
      <c r="E19" s="8">
        <f t="shared" si="17"/>
        <v>22257.483279087235</v>
      </c>
      <c r="F19" s="7">
        <f t="shared" si="17"/>
        <v>72346.317643692557</v>
      </c>
      <c r="G19" s="8">
        <f t="shared" si="17"/>
        <v>6075.7691619871957</v>
      </c>
      <c r="H19" s="8">
        <f t="shared" si="17"/>
        <v>16655.98787510283</v>
      </c>
      <c r="I19" s="8">
        <f t="shared" si="17"/>
        <v>7271.8139060767562</v>
      </c>
      <c r="J19" s="8">
        <f t="shared" si="17"/>
        <v>848.39747487392265</v>
      </c>
      <c r="K19" s="7">
        <f t="shared" si="17"/>
        <v>0</v>
      </c>
      <c r="L19" s="7">
        <f t="shared" si="17"/>
        <v>0</v>
      </c>
      <c r="M19" s="7">
        <f t="shared" si="17"/>
        <v>2371.3687900139494</v>
      </c>
      <c r="O19" s="7" t="s">
        <v>46</v>
      </c>
      <c r="P19" s="8">
        <f>(B19*1000)/SUM('Population Figures'!$K21:$M21)</f>
        <v>596.43690111207036</v>
      </c>
      <c r="Q19" s="7">
        <f>(C19*1000)/SUM('Population Figures'!$K21:$M21)</f>
        <v>2.1332442029071781</v>
      </c>
      <c r="R19" s="8">
        <f>(D19*1000)/SUM('Population Figures'!$K21)</f>
        <v>2.9556204125357834</v>
      </c>
      <c r="S19" s="8">
        <f>(E19*1000)/SUM('Population Figures'!$K21)</f>
        <v>496.9297450119945</v>
      </c>
      <c r="T19" s="7">
        <f>(F19*1000)/SUM('Population Figures'!$M21)</f>
        <v>1901.9985183819058</v>
      </c>
      <c r="U19" s="8">
        <f>(G19*1000)/SUM('Population Figures'!$L21)</f>
        <v>45.860745620096132</v>
      </c>
      <c r="V19" s="8">
        <f>(H19*1000)/SUM('Population Figures'!$L21)</f>
        <v>125.7216991999187</v>
      </c>
      <c r="W19" s="8">
        <f>(I19*1000)/SUM('Population Figures'!$L21)</f>
        <v>54.888656703703539</v>
      </c>
      <c r="X19" s="8">
        <f>(J19*1000)/SUM('Population Figures'!$L21)</f>
        <v>6.4038214327417302</v>
      </c>
      <c r="Y19" s="7">
        <f>(K19*1000)/SUM('Population Figures'!$L21)</f>
        <v>0</v>
      </c>
      <c r="Z19" s="7">
        <f>(L19*1000)/SUM('Population Figures'!$L21)</f>
        <v>0</v>
      </c>
      <c r="AA19" s="7">
        <f>(M19*1000)/SUM('Population Figures'!$L21)</f>
        <v>17.899419472792353</v>
      </c>
    </row>
    <row r="20" spans="1:27">
      <c r="A20" s="7" t="s">
        <v>47</v>
      </c>
      <c r="B20" s="8">
        <f t="shared" si="1"/>
        <v>58373.660180979299</v>
      </c>
      <c r="C20" s="7">
        <f t="shared" ref="C20:M20" si="18">C62*$E$39</f>
        <v>1178.7774956185845</v>
      </c>
      <c r="D20" s="8">
        <f t="shared" si="18"/>
        <v>27.627597553560573</v>
      </c>
      <c r="E20" s="8">
        <f t="shared" si="18"/>
        <v>13612.347544618908</v>
      </c>
      <c r="F20" s="7">
        <f t="shared" si="18"/>
        <v>26278.449873028367</v>
      </c>
      <c r="G20" s="8">
        <f t="shared" si="18"/>
        <v>3030.9776816052081</v>
      </c>
      <c r="H20" s="8">
        <f t="shared" si="18"/>
        <v>8350.4413605636837</v>
      </c>
      <c r="I20" s="8">
        <f t="shared" si="18"/>
        <v>2778.8758539289674</v>
      </c>
      <c r="J20" s="8">
        <f t="shared" si="18"/>
        <v>893.29232089845857</v>
      </c>
      <c r="K20" s="7">
        <f t="shared" si="18"/>
        <v>0</v>
      </c>
      <c r="L20" s="7">
        <f t="shared" si="18"/>
        <v>0</v>
      </c>
      <c r="M20" s="7">
        <f t="shared" si="18"/>
        <v>2222.8704531635613</v>
      </c>
      <c r="O20" s="7" t="s">
        <v>47</v>
      </c>
      <c r="P20" s="8">
        <f>(B20*1000)/SUM('Population Figures'!$K22:$M22)</f>
        <v>715.88987222196829</v>
      </c>
      <c r="Q20" s="7">
        <f>(C20*1000)/SUM('Population Figures'!$K22:$M22)</f>
        <v>14.45643237206996</v>
      </c>
      <c r="R20" s="8">
        <f>(D20*1000)/SUM('Population Figures'!$K22)</f>
        <v>1.6378703790348927</v>
      </c>
      <c r="S20" s="8">
        <f>(E20*1000)/SUM('Population Figures'!$K22)</f>
        <v>806.99238467031705</v>
      </c>
      <c r="T20" s="7">
        <f>(F20*1000)/SUM('Population Figures'!$M22)</f>
        <v>1864.116469676411</v>
      </c>
      <c r="U20" s="8">
        <f>(G20*1000)/SUM('Population Figures'!$L22)</f>
        <v>59.930354554724829</v>
      </c>
      <c r="V20" s="8">
        <f>(H20*1000)/SUM('Population Figures'!$L22)</f>
        <v>165.11006150397793</v>
      </c>
      <c r="W20" s="8">
        <f>(I20*1000)/SUM('Population Figures'!$L22)</f>
        <v>54.945642193355759</v>
      </c>
      <c r="X20" s="8">
        <f>(J20*1000)/SUM('Population Figures'!$L22)</f>
        <v>17.662725079554299</v>
      </c>
      <c r="Y20" s="7">
        <f>(K20*1000)/SUM('Population Figures'!$L22)</f>
        <v>0</v>
      </c>
      <c r="Z20" s="7">
        <f>(L20*1000)/SUM('Population Figures'!$L22)</f>
        <v>0</v>
      </c>
      <c r="AA20" s="7">
        <f>(M20*1000)/SUM('Population Figures'!$L22)</f>
        <v>43.951961505952774</v>
      </c>
    </row>
    <row r="21" spans="1:27">
      <c r="A21" s="7" t="s">
        <v>48</v>
      </c>
      <c r="B21" s="8">
        <f t="shared" si="1"/>
        <v>52501.644550949612</v>
      </c>
      <c r="C21" s="7">
        <f t="shared" ref="C21:M21" si="19">C63*$E$39</f>
        <v>824.22332701455707</v>
      </c>
      <c r="D21" s="8">
        <f t="shared" si="19"/>
        <v>72.5224435780965</v>
      </c>
      <c r="E21" s="8">
        <f t="shared" si="19"/>
        <v>12464.651096248079</v>
      </c>
      <c r="F21" s="7">
        <f t="shared" si="19"/>
        <v>22119.345291319434</v>
      </c>
      <c r="G21" s="8">
        <f t="shared" si="19"/>
        <v>3147.2438213097753</v>
      </c>
      <c r="H21" s="8">
        <f t="shared" si="19"/>
        <v>10558.346865052399</v>
      </c>
      <c r="I21" s="8">
        <f t="shared" si="19"/>
        <v>1807.3053399620876</v>
      </c>
      <c r="J21" s="8">
        <f t="shared" si="19"/>
        <v>608.95829607639769</v>
      </c>
      <c r="K21" s="7">
        <f t="shared" si="19"/>
        <v>2.3022997961300478</v>
      </c>
      <c r="L21" s="7">
        <f t="shared" si="19"/>
        <v>3.4534496941950716</v>
      </c>
      <c r="M21" s="7">
        <f t="shared" si="19"/>
        <v>893.29232089845857</v>
      </c>
      <c r="O21" s="7" t="s">
        <v>48</v>
      </c>
      <c r="P21" s="8">
        <f>(B21*1000)/SUM('Population Figures'!$K23:$M23)</f>
        <v>662.14711251039989</v>
      </c>
      <c r="Q21" s="7">
        <f>(C21*1000)/SUM('Population Figures'!$K23:$M23)</f>
        <v>10.395047635446552</v>
      </c>
      <c r="R21" s="8">
        <f>(D21*1000)/SUM('Population Figures'!$K23)</f>
        <v>4.0915341934045983</v>
      </c>
      <c r="S21" s="8">
        <f>(E21*1000)/SUM('Population Figures'!$K23)</f>
        <v>703.22432136801569</v>
      </c>
      <c r="T21" s="7">
        <f>(F21*1000)/SUM('Population Figures'!$M23)</f>
        <v>1749.9482034271705</v>
      </c>
      <c r="U21" s="8">
        <f>(G21*1000)/SUM('Population Figures'!$L23)</f>
        <v>64.327926853546757</v>
      </c>
      <c r="V21" s="8">
        <f>(H21*1000)/SUM('Population Figures'!$L23)</f>
        <v>215.80678313852627</v>
      </c>
      <c r="W21" s="8">
        <f>(I21*1000)/SUM('Population Figures'!$L23)</f>
        <v>36.940323760083551</v>
      </c>
      <c r="X21" s="8">
        <f>(J21*1000)/SUM('Population Figures'!$L23)</f>
        <v>12.446771508970826</v>
      </c>
      <c r="Y21" s="7">
        <f>(K21*1000)/SUM('Population Figures'!$L23)</f>
        <v>4.7057737273991783E-2</v>
      </c>
      <c r="Z21" s="7">
        <f>(L21*1000)/SUM('Population Figures'!$L23)</f>
        <v>7.0586605910987671E-2</v>
      </c>
      <c r="AA21" s="7">
        <f>(M21*1000)/SUM('Population Figures'!$L23)</f>
        <v>18.258402062308811</v>
      </c>
    </row>
    <row r="22" spans="1:27">
      <c r="A22" s="7" t="s">
        <v>49</v>
      </c>
      <c r="B22" s="8">
        <f t="shared" si="1"/>
        <v>48899.696519904152</v>
      </c>
      <c r="C22" s="7">
        <f t="shared" ref="C22:M22" si="20">C64*$E$39</f>
        <v>113.96383990843736</v>
      </c>
      <c r="D22" s="8">
        <f t="shared" si="20"/>
        <v>70.220143781966456</v>
      </c>
      <c r="E22" s="8">
        <f t="shared" si="20"/>
        <v>11003.841875603563</v>
      </c>
      <c r="F22" s="7">
        <f t="shared" si="20"/>
        <v>22176.902786222687</v>
      </c>
      <c r="G22" s="8">
        <f t="shared" si="20"/>
        <v>3475.3215422583071</v>
      </c>
      <c r="H22" s="8">
        <f t="shared" si="20"/>
        <v>8663.5541328373693</v>
      </c>
      <c r="I22" s="8">
        <f t="shared" si="20"/>
        <v>2473.8211309417361</v>
      </c>
      <c r="J22" s="8">
        <f t="shared" si="20"/>
        <v>305.05472298723134</v>
      </c>
      <c r="K22" s="7">
        <f t="shared" si="20"/>
        <v>0</v>
      </c>
      <c r="L22" s="7">
        <f t="shared" si="20"/>
        <v>0</v>
      </c>
      <c r="M22" s="7">
        <f t="shared" si="20"/>
        <v>617.0163453628528</v>
      </c>
      <c r="O22" s="7" t="s">
        <v>49</v>
      </c>
      <c r="P22" s="8">
        <f>(B22*1000)/SUM('Population Figures'!$K24:$M24)</f>
        <v>563.6852624772813</v>
      </c>
      <c r="Q22" s="7">
        <f>(C22*1000)/SUM('Population Figures'!$K24:$M24)</f>
        <v>1.3137042064373183</v>
      </c>
      <c r="R22" s="8">
        <f>(D22*1000)/SUM('Population Figures'!$K24)</f>
        <v>3.8248348919857538</v>
      </c>
      <c r="S22" s="8">
        <f>(E22*1000)/SUM('Population Figures'!$K24)</f>
        <v>599.37043823757074</v>
      </c>
      <c r="T22" s="7">
        <f>(F22*1000)/SUM('Population Figures'!$M24)</f>
        <v>1452.8893334789495</v>
      </c>
      <c r="U22" s="8">
        <f>(G22*1000)/SUM('Population Figures'!$L24)</f>
        <v>65.415354570337243</v>
      </c>
      <c r="V22" s="8">
        <f>(H22*1000)/SUM('Population Figures'!$L24)</f>
        <v>163.07252682886988</v>
      </c>
      <c r="W22" s="8">
        <f>(I22*1000)/SUM('Population Figures'!$L24)</f>
        <v>46.56429180909398</v>
      </c>
      <c r="X22" s="8">
        <f>(J22*1000)/SUM('Population Figures'!$L24)</f>
        <v>5.7419903812982351</v>
      </c>
      <c r="Y22" s="7">
        <f>(K22*1000)/SUM('Population Figures'!$L24)</f>
        <v>0</v>
      </c>
      <c r="Z22" s="7">
        <f>(L22*1000)/SUM('Population Figures'!$L24)</f>
        <v>0</v>
      </c>
      <c r="AA22" s="7">
        <f>(M22*1000)/SUM('Population Figures'!$L24)</f>
        <v>11.613988091984355</v>
      </c>
    </row>
    <row r="23" spans="1:27">
      <c r="A23" s="7" t="s">
        <v>50</v>
      </c>
      <c r="B23" s="8">
        <f t="shared" si="1"/>
        <v>85476.333381022225</v>
      </c>
      <c r="C23" s="7">
        <f t="shared" ref="C23:M23" si="21">C65*$E$39</f>
        <v>911.71071926749892</v>
      </c>
      <c r="D23" s="8">
        <f t="shared" si="21"/>
        <v>272.82252584141065</v>
      </c>
      <c r="E23" s="8">
        <f t="shared" si="21"/>
        <v>20666.594119961374</v>
      </c>
      <c r="F23" s="7">
        <f t="shared" si="21"/>
        <v>42471.675489109053</v>
      </c>
      <c r="G23" s="8">
        <f t="shared" si="21"/>
        <v>2813.4103508709181</v>
      </c>
      <c r="H23" s="8">
        <f t="shared" si="21"/>
        <v>11612.800171679961</v>
      </c>
      <c r="I23" s="8">
        <f t="shared" si="21"/>
        <v>2658.0051146321402</v>
      </c>
      <c r="J23" s="8">
        <f t="shared" si="21"/>
        <v>1547.1454629993921</v>
      </c>
      <c r="K23" s="7">
        <f t="shared" si="21"/>
        <v>0</v>
      </c>
      <c r="L23" s="7">
        <f t="shared" si="21"/>
        <v>0</v>
      </c>
      <c r="M23" s="7">
        <f t="shared" si="21"/>
        <v>2522.1694266604673</v>
      </c>
      <c r="O23" s="7" t="s">
        <v>50</v>
      </c>
      <c r="P23" s="8">
        <f>(B23*1000)/SUM('Population Figures'!$K25:$M25)</f>
        <v>630.86820710769973</v>
      </c>
      <c r="Q23" s="7">
        <f>(C23*1000)/SUM('Population Figures'!$K25:$M25)</f>
        <v>6.72898899747213</v>
      </c>
      <c r="R23" s="8">
        <f>(D23*1000)/SUM('Population Figures'!$K25)</f>
        <v>9.4359812486220971</v>
      </c>
      <c r="S23" s="8">
        <f>(E23*1000)/SUM('Population Figures'!$K25)</f>
        <v>714.78553314984174</v>
      </c>
      <c r="T23" s="7">
        <f>(F23*1000)/SUM('Population Figures'!$M25)</f>
        <v>1797.9711916479998</v>
      </c>
      <c r="U23" s="8">
        <f>(G23*1000)/SUM('Population Figures'!$L25)</f>
        <v>33.914897846674918</v>
      </c>
      <c r="V23" s="8">
        <f>(H23*1000)/SUM('Population Figures'!$L25)</f>
        <v>139.98915281393479</v>
      </c>
      <c r="W23" s="8">
        <f>(I23*1000)/SUM('Population Figures'!$L25)</f>
        <v>32.041529921428975</v>
      </c>
      <c r="X23" s="8">
        <f>(J23*1000)/SUM('Population Figures'!$L25)</f>
        <v>18.650418455781956</v>
      </c>
      <c r="Y23" s="7">
        <f>(K23*1000)/SUM('Population Figures'!$L25)</f>
        <v>0</v>
      </c>
      <c r="Z23" s="7">
        <f>(L23*1000)/SUM('Population Figures'!$L25)</f>
        <v>0</v>
      </c>
      <c r="AA23" s="7">
        <f>(M23*1000)/SUM('Population Figures'!$L25)</f>
        <v>30.404067586769543</v>
      </c>
    </row>
    <row r="24" spans="1:27">
      <c r="A24" s="7" t="s">
        <v>51</v>
      </c>
      <c r="B24" s="8">
        <f t="shared" si="1"/>
        <v>205162.53943274083</v>
      </c>
      <c r="C24" s="7">
        <f t="shared" ref="C24:M24" si="22">C66*$E$39</f>
        <v>844.94402517972753</v>
      </c>
      <c r="D24" s="8">
        <f t="shared" si="22"/>
        <v>75.975893272291572</v>
      </c>
      <c r="E24" s="8">
        <f t="shared" si="22"/>
        <v>30702.318931292251</v>
      </c>
      <c r="F24" s="7">
        <f t="shared" si="22"/>
        <v>96234.98032833793</v>
      </c>
      <c r="G24" s="8">
        <f t="shared" si="22"/>
        <v>6198.9422010801536</v>
      </c>
      <c r="H24" s="8">
        <f t="shared" si="22"/>
        <v>46210.610358024256</v>
      </c>
      <c r="I24" s="8">
        <f t="shared" si="22"/>
        <v>7971.7130441002901</v>
      </c>
      <c r="J24" s="8">
        <f t="shared" si="22"/>
        <v>2768.5155048463826</v>
      </c>
      <c r="K24" s="7">
        <f t="shared" si="22"/>
        <v>0</v>
      </c>
      <c r="L24" s="7">
        <f t="shared" si="22"/>
        <v>20.720698165170429</v>
      </c>
      <c r="M24" s="7">
        <f t="shared" si="22"/>
        <v>14133.818448442364</v>
      </c>
      <c r="O24" s="7" t="s">
        <v>51</v>
      </c>
      <c r="P24" s="8">
        <f>(B24*1000)/SUM('Population Figures'!$K26:$M26)</f>
        <v>633.64796909241102</v>
      </c>
      <c r="Q24" s="7">
        <f>(C24*1000)/SUM('Population Figures'!$K26:$M26)</f>
        <v>2.609623896410302</v>
      </c>
      <c r="R24" s="8">
        <f>(D24*1000)/SUM('Population Figures'!$K26)</f>
        <v>1.0552353959401044</v>
      </c>
      <c r="S24" s="8">
        <f>(E24*1000)/SUM('Population Figures'!$K26)</f>
        <v>426.42701886543216</v>
      </c>
      <c r="T24" s="7">
        <f>(F24*1000)/SUM('Population Figures'!$M26)</f>
        <v>2039.6977666505145</v>
      </c>
      <c r="U24" s="8">
        <f>(G24*1000)/SUM('Population Figures'!$L26)</f>
        <v>30.297860220333106</v>
      </c>
      <c r="V24" s="8">
        <f>(H24*1000)/SUM('Population Figures'!$L26)</f>
        <v>225.85831064527983</v>
      </c>
      <c r="W24" s="8">
        <f>(I24*1000)/SUM('Population Figures'!$L26)</f>
        <v>38.962429345553716</v>
      </c>
      <c r="X24" s="8">
        <f>(J24*1000)/SUM('Population Figures'!$L26)</f>
        <v>13.531356328672446</v>
      </c>
      <c r="Y24" s="7">
        <f>(K24*1000)/SUM('Population Figures'!$L26)</f>
        <v>0</v>
      </c>
      <c r="Z24" s="7">
        <f>(L24*1000)/SUM('Population Figures'!$L26)</f>
        <v>0.10127418458050064</v>
      </c>
      <c r="AA24" s="7">
        <f>(M24*1000)/SUM('Population Figures'!$L26)</f>
        <v>69.080246571077055</v>
      </c>
    </row>
    <row r="25" spans="1:27">
      <c r="A25" s="7" t="s">
        <v>52</v>
      </c>
      <c r="B25" s="8">
        <f t="shared" si="1"/>
        <v>19159.738903394256</v>
      </c>
      <c r="C25" s="7">
        <f t="shared" ref="C25:M25" si="23">C67*$E$39</f>
        <v>892.14117100039346</v>
      </c>
      <c r="D25" s="8">
        <f t="shared" si="23"/>
        <v>74.824743374226557</v>
      </c>
      <c r="E25" s="8">
        <f t="shared" si="23"/>
        <v>3281.9283593833829</v>
      </c>
      <c r="F25" s="7">
        <f t="shared" si="23"/>
        <v>10675.764154655031</v>
      </c>
      <c r="G25" s="8">
        <f t="shared" si="23"/>
        <v>1082.0809041811224</v>
      </c>
      <c r="H25" s="8">
        <f t="shared" si="23"/>
        <v>1958.1059766086057</v>
      </c>
      <c r="I25" s="8">
        <f t="shared" si="23"/>
        <v>689.5387889409493</v>
      </c>
      <c r="J25" s="8">
        <f t="shared" si="23"/>
        <v>71.371293680031485</v>
      </c>
      <c r="K25" s="7">
        <f t="shared" si="23"/>
        <v>0</v>
      </c>
      <c r="L25" s="7">
        <f t="shared" si="23"/>
        <v>0</v>
      </c>
      <c r="M25" s="7">
        <f t="shared" si="23"/>
        <v>433.983511570514</v>
      </c>
      <c r="O25" s="7" t="s">
        <v>52</v>
      </c>
      <c r="P25" s="8">
        <f>(B25*1000)/SUM('Population Figures'!$K27:$M27)</f>
        <v>969.13196274123698</v>
      </c>
      <c r="Q25" s="7">
        <f>(C25*1000)/SUM('Population Figures'!$K27:$M27)</f>
        <v>45.126007637855004</v>
      </c>
      <c r="R25" s="8">
        <f>(D25*1000)/SUM('Population Figures'!$K27)</f>
        <v>18.077976171593757</v>
      </c>
      <c r="S25" s="8">
        <f>(E25*1000)/SUM('Population Figures'!$K27)</f>
        <v>792.92784715713526</v>
      </c>
      <c r="T25" s="7">
        <f>(F25*1000)/SUM('Population Figures'!$M27)</f>
        <v>2980.3920029746041</v>
      </c>
      <c r="U25" s="8">
        <f>(G25*1000)/SUM('Population Figures'!$L27)</f>
        <v>89.806697998267268</v>
      </c>
      <c r="V25" s="8">
        <f>(H25*1000)/SUM('Population Figures'!$L27)</f>
        <v>162.51190776069433</v>
      </c>
      <c r="W25" s="8">
        <f>(I25*1000)/SUM('Population Figures'!$L27)</f>
        <v>57.227885213789463</v>
      </c>
      <c r="X25" s="8">
        <f>(J25*1000)/SUM('Population Figures'!$L27)</f>
        <v>5.9234205062686929</v>
      </c>
      <c r="Y25" s="7">
        <f>(K25*1000)/SUM('Population Figures'!$L27)</f>
        <v>0</v>
      </c>
      <c r="Z25" s="7">
        <f>(L25*1000)/SUM('Population Figures'!$L27)</f>
        <v>0</v>
      </c>
      <c r="AA25" s="7">
        <f>(M25*1000)/SUM('Population Figures'!$L27)</f>
        <v>36.018218239730601</v>
      </c>
    </row>
    <row r="26" spans="1:27">
      <c r="A26" s="7" t="s">
        <v>53</v>
      </c>
      <c r="B26" s="8">
        <f t="shared" si="1"/>
        <v>79834.54773060554</v>
      </c>
      <c r="C26" s="7">
        <f t="shared" ref="C26:M26" si="24">C68*$E$39</f>
        <v>599.74909689187746</v>
      </c>
      <c r="D26" s="8">
        <f t="shared" si="24"/>
        <v>0</v>
      </c>
      <c r="E26" s="8">
        <f t="shared" si="24"/>
        <v>14082.016703029438</v>
      </c>
      <c r="F26" s="7">
        <f t="shared" si="24"/>
        <v>42433.687542472908</v>
      </c>
      <c r="G26" s="8">
        <f t="shared" si="24"/>
        <v>2263.1606995958368</v>
      </c>
      <c r="H26" s="8">
        <f t="shared" si="24"/>
        <v>13054.03984405737</v>
      </c>
      <c r="I26" s="8">
        <f t="shared" si="24"/>
        <v>4430.7759576522767</v>
      </c>
      <c r="J26" s="8">
        <f t="shared" si="24"/>
        <v>866.81587324296299</v>
      </c>
      <c r="K26" s="7">
        <f t="shared" si="24"/>
        <v>0</v>
      </c>
      <c r="L26" s="7">
        <f t="shared" si="24"/>
        <v>0</v>
      </c>
      <c r="M26" s="7">
        <f t="shared" si="24"/>
        <v>2104.3020136628638</v>
      </c>
      <c r="O26" s="7" t="s">
        <v>53</v>
      </c>
      <c r="P26" s="8">
        <f>(B26*1000)/SUM('Population Figures'!$K28:$M28)</f>
        <v>569.47391205225438</v>
      </c>
      <c r="Q26" s="7">
        <f>(C26*1000)/SUM('Population Figures'!$K28:$M28)</f>
        <v>4.278116105941062</v>
      </c>
      <c r="R26" s="8">
        <f>(D26*1000)/SUM('Population Figures'!$K28)</f>
        <v>0</v>
      </c>
      <c r="S26" s="8">
        <f>(E26*1000)/SUM('Population Figures'!$K28)</f>
        <v>495.0438270065892</v>
      </c>
      <c r="T26" s="7">
        <f>(F26*1000)/SUM('Population Figures'!$M28)</f>
        <v>1571.3852593124318</v>
      </c>
      <c r="U26" s="8">
        <f>(G26*1000)/SUM('Population Figures'!$L28)</f>
        <v>26.707112338869919</v>
      </c>
      <c r="V26" s="8">
        <f>(H26*1000)/SUM('Population Figures'!$L28)</f>
        <v>154.04814543376645</v>
      </c>
      <c r="W26" s="8">
        <f>(I26*1000)/SUM('Population Figures'!$L28)</f>
        <v>52.286711796699038</v>
      </c>
      <c r="X26" s="8">
        <f>(J26*1000)/SUM('Population Figures'!$L28)</f>
        <v>10.229122884623118</v>
      </c>
      <c r="Y26" s="7">
        <f>(K26*1000)/SUM('Population Figures'!$L28)</f>
        <v>0</v>
      </c>
      <c r="Z26" s="7">
        <f>(L26*1000)/SUM('Population Figures'!$L28)</f>
        <v>0</v>
      </c>
      <c r="AA26" s="7">
        <f>(M26*1000)/SUM('Population Figures'!$L28)</f>
        <v>24.832452367982818</v>
      </c>
    </row>
    <row r="27" spans="1:27">
      <c r="A27" s="7" t="s">
        <v>54</v>
      </c>
      <c r="B27" s="8">
        <f t="shared" si="1"/>
        <v>121062.98132980436</v>
      </c>
      <c r="C27" s="7">
        <f t="shared" ref="C27:M27" si="25">C69*$E$39</f>
        <v>294.69437390464611</v>
      </c>
      <c r="D27" s="8">
        <f t="shared" si="25"/>
        <v>0</v>
      </c>
      <c r="E27" s="8">
        <f t="shared" si="25"/>
        <v>28134.103508709184</v>
      </c>
      <c r="F27" s="7">
        <f t="shared" si="25"/>
        <v>52327.820916341792</v>
      </c>
      <c r="G27" s="8">
        <f t="shared" si="25"/>
        <v>9174.6646875782408</v>
      </c>
      <c r="H27" s="8">
        <f t="shared" si="25"/>
        <v>20543.421080868415</v>
      </c>
      <c r="I27" s="8">
        <f t="shared" si="25"/>
        <v>5683.2270467470225</v>
      </c>
      <c r="J27" s="8">
        <f t="shared" si="25"/>
        <v>2141.1388104009443</v>
      </c>
      <c r="K27" s="7">
        <f t="shared" si="25"/>
        <v>0</v>
      </c>
      <c r="L27" s="7">
        <f t="shared" si="25"/>
        <v>0</v>
      </c>
      <c r="M27" s="7">
        <f t="shared" si="25"/>
        <v>2763.9109052541226</v>
      </c>
      <c r="O27" s="7" t="s">
        <v>54</v>
      </c>
      <c r="P27" s="8">
        <f>(B27*1000)/SUM('Population Figures'!$K29:$M29)</f>
        <v>713.85683902237372</v>
      </c>
      <c r="Q27" s="7">
        <f>(C27*1000)/SUM('Population Figures'!$K29:$M29)</f>
        <v>1.7376872097685367</v>
      </c>
      <c r="R27" s="8">
        <f>(D27*1000)/SUM('Population Figures'!$K29)</f>
        <v>0</v>
      </c>
      <c r="S27" s="8">
        <f>(E27*1000)/SUM('Population Figures'!$K29)</f>
        <v>793.71730262114727</v>
      </c>
      <c r="T27" s="7">
        <f>(F27*1000)/SUM('Population Figures'!$M29)</f>
        <v>1918.5972323950205</v>
      </c>
      <c r="U27" s="8">
        <f>(G27*1000)/SUM('Population Figures'!$L29)</f>
        <v>85.848832109836621</v>
      </c>
      <c r="V27" s="8">
        <f>(H27*1000)/SUM('Population Figures'!$L29)</f>
        <v>192.22813774556391</v>
      </c>
      <c r="W27" s="8">
        <f>(I27*1000)/SUM('Population Figures'!$L29)</f>
        <v>53.178881320735684</v>
      </c>
      <c r="X27" s="8">
        <f>(J27*1000)/SUM('Population Figures'!$L29)</f>
        <v>20.034984658004532</v>
      </c>
      <c r="Y27" s="7">
        <f>(K27*1000)/SUM('Population Figures'!$L29)</f>
        <v>0</v>
      </c>
      <c r="Z27" s="7">
        <f>(L27*1000)/SUM('Population Figures'!$L29)</f>
        <v>0</v>
      </c>
      <c r="AA27" s="7">
        <f>(M27*1000)/SUM('Population Figures'!$L29)</f>
        <v>25.862364604230581</v>
      </c>
    </row>
    <row r="28" spans="1:27">
      <c r="A28" s="7" t="s">
        <v>55</v>
      </c>
      <c r="B28" s="8">
        <f t="shared" si="1"/>
        <v>72068.890518258879</v>
      </c>
      <c r="C28" s="7">
        <f t="shared" ref="C28:M28" si="26">C70*$E$39</f>
        <v>843.79287528166253</v>
      </c>
      <c r="D28" s="8">
        <f t="shared" si="26"/>
        <v>51.801745412926074</v>
      </c>
      <c r="E28" s="8">
        <f t="shared" si="26"/>
        <v>11402.139740334062</v>
      </c>
      <c r="F28" s="7">
        <f t="shared" si="26"/>
        <v>34750.913122786944</v>
      </c>
      <c r="G28" s="8">
        <f t="shared" si="26"/>
        <v>5751.1448907328595</v>
      </c>
      <c r="H28" s="8">
        <f t="shared" si="26"/>
        <v>14638.022103794843</v>
      </c>
      <c r="I28" s="8">
        <f t="shared" si="26"/>
        <v>2640.7378661611647</v>
      </c>
      <c r="J28" s="8">
        <f t="shared" si="26"/>
        <v>269.36907614721559</v>
      </c>
      <c r="K28" s="7">
        <f t="shared" si="26"/>
        <v>0</v>
      </c>
      <c r="L28" s="7">
        <f t="shared" si="26"/>
        <v>0</v>
      </c>
      <c r="M28" s="7">
        <f t="shared" si="26"/>
        <v>1720.9690976072106</v>
      </c>
      <c r="O28" s="7" t="s">
        <v>55</v>
      </c>
      <c r="P28" s="8">
        <f>(B28*1000)/SUM('Population Figures'!$K30:$M30)</f>
        <v>653.74537843123085</v>
      </c>
      <c r="Q28" s="7">
        <f>(C28*1000)/SUM('Population Figures'!$K30:$M30)</f>
        <v>7.6541443693909885</v>
      </c>
      <c r="R28" s="8">
        <f>(D28*1000)/SUM('Population Figures'!$K30)</f>
        <v>2.2735021028275653</v>
      </c>
      <c r="S28" s="8">
        <f>(E28*1000)/SUM('Population Figures'!$K30)</f>
        <v>500.42307396682298</v>
      </c>
      <c r="T28" s="7">
        <f>(F28*1000)/SUM('Population Figures'!$M30)</f>
        <v>1634.4909986730138</v>
      </c>
      <c r="U28" s="8">
        <f>(G28*1000)/SUM('Population Figures'!$L30)</f>
        <v>86.883175072255185</v>
      </c>
      <c r="V28" s="8">
        <f>(H28*1000)/SUM('Population Figures'!$L30)</f>
        <v>221.13820140488326</v>
      </c>
      <c r="W28" s="8">
        <f>(I28*1000)/SUM('Population Figures'!$L30)</f>
        <v>39.893915855835345</v>
      </c>
      <c r="X28" s="8">
        <f>(J28*1000)/SUM('Population Figures'!$L30)</f>
        <v>4.0693881038646342</v>
      </c>
      <c r="Y28" s="7">
        <f>(K28*1000)/SUM('Population Figures'!$L30)</f>
        <v>0</v>
      </c>
      <c r="Z28" s="7">
        <f>(L28*1000)/SUM('Population Figures'!$L30)</f>
        <v>0</v>
      </c>
      <c r="AA28" s="7">
        <f>(M28*1000)/SUM('Population Figures'!$L30)</f>
        <v>25.998868441357384</v>
      </c>
    </row>
    <row r="29" spans="1:27">
      <c r="A29" s="7" t="s">
        <v>56</v>
      </c>
      <c r="B29" s="8">
        <f t="shared" si="1"/>
        <v>22257.483279087235</v>
      </c>
      <c r="C29" s="7">
        <f t="shared" ref="C29:M29" si="27">C71*$E$39</f>
        <v>424.77431238599382</v>
      </c>
      <c r="D29" s="8">
        <f t="shared" si="27"/>
        <v>41.441396330340858</v>
      </c>
      <c r="E29" s="8">
        <f t="shared" si="27"/>
        <v>3928.8746020959265</v>
      </c>
      <c r="F29" s="7">
        <f t="shared" si="27"/>
        <v>11166.154011230732</v>
      </c>
      <c r="G29" s="8">
        <f t="shared" si="27"/>
        <v>1389.4379269644837</v>
      </c>
      <c r="H29" s="8">
        <f t="shared" si="27"/>
        <v>3795.3412139203838</v>
      </c>
      <c r="I29" s="8">
        <f t="shared" si="27"/>
        <v>885.23427161200334</v>
      </c>
      <c r="J29" s="8">
        <f t="shared" si="27"/>
        <v>241.74147859365502</v>
      </c>
      <c r="K29" s="7">
        <f t="shared" si="27"/>
        <v>0</v>
      </c>
      <c r="L29" s="7">
        <f t="shared" si="27"/>
        <v>0</v>
      </c>
      <c r="M29" s="7">
        <f t="shared" si="27"/>
        <v>384.48406595371796</v>
      </c>
      <c r="O29" s="7" t="s">
        <v>56</v>
      </c>
      <c r="P29" s="8">
        <f>(B29*1000)/SUM('Population Figures'!$K31:$M31)</f>
        <v>1017.2524350588316</v>
      </c>
      <c r="Q29" s="7">
        <f>(C29*1000)/SUM('Population Figures'!$K31:$M31)</f>
        <v>19.413816836654195</v>
      </c>
      <c r="R29" s="8">
        <f>(D29*1000)/SUM('Population Figures'!$K31)</f>
        <v>8.2110949733189731</v>
      </c>
      <c r="S29" s="8">
        <f>(E29*1000)/SUM('Population Figures'!$K31)</f>
        <v>778.45742066493494</v>
      </c>
      <c r="T29" s="7">
        <f>(F29*1000)/SUM('Population Figures'!$M31)</f>
        <v>3283.1972982154457</v>
      </c>
      <c r="U29" s="8">
        <f>(G29*1000)/SUM('Population Figures'!$L31)</f>
        <v>103.4423709771057</v>
      </c>
      <c r="V29" s="8">
        <f>(H29*1000)/SUM('Population Figures'!$L31)</f>
        <v>282.5596496367171</v>
      </c>
      <c r="W29" s="8">
        <f>(I29*1000)/SUM('Population Figures'!$L31)</f>
        <v>65.904874301072311</v>
      </c>
      <c r="X29" s="8">
        <f>(J29*1000)/SUM('Population Figures'!$L31)</f>
        <v>17.997429913166691</v>
      </c>
      <c r="Y29" s="7">
        <f>(K29*1000)/SUM('Population Figures'!$L31)</f>
        <v>0</v>
      </c>
      <c r="Z29" s="7">
        <f>(L29*1000)/SUM('Population Figures'!$L31)</f>
        <v>0</v>
      </c>
      <c r="AA29" s="7">
        <f>(M29*1000)/SUM('Population Figures'!$L31)</f>
        <v>28.624483766655597</v>
      </c>
    </row>
    <row r="30" spans="1:27">
      <c r="A30" s="7" t="s">
        <v>57</v>
      </c>
      <c r="B30" s="8">
        <f t="shared" si="1"/>
        <v>74611.780643084523</v>
      </c>
      <c r="C30" s="7">
        <f t="shared" ref="C30:M30" si="28">C72*$E$39</f>
        <v>46.045995922600952</v>
      </c>
      <c r="D30" s="8">
        <f t="shared" si="28"/>
        <v>50.650595514861052</v>
      </c>
      <c r="E30" s="8">
        <f t="shared" si="28"/>
        <v>15737.370256446942</v>
      </c>
      <c r="F30" s="7">
        <f t="shared" si="28"/>
        <v>39144.852283701141</v>
      </c>
      <c r="G30" s="8">
        <f t="shared" si="28"/>
        <v>3237.0335133588474</v>
      </c>
      <c r="H30" s="8">
        <f t="shared" si="28"/>
        <v>11417.104689008907</v>
      </c>
      <c r="I30" s="8">
        <f t="shared" si="28"/>
        <v>2110.0577631531887</v>
      </c>
      <c r="J30" s="8">
        <f t="shared" si="28"/>
        <v>1176.4751958224545</v>
      </c>
      <c r="K30" s="7">
        <f t="shared" si="28"/>
        <v>0</v>
      </c>
      <c r="L30" s="7">
        <f t="shared" si="28"/>
        <v>0</v>
      </c>
      <c r="M30" s="7">
        <f t="shared" si="28"/>
        <v>1692.1903501555851</v>
      </c>
      <c r="O30" s="7" t="s">
        <v>57</v>
      </c>
      <c r="P30" s="8">
        <f>(B30*1000)/SUM('Population Figures'!$K32:$M32)</f>
        <v>668.14525515433445</v>
      </c>
      <c r="Q30" s="7">
        <f>(C30*1000)/SUM('Population Figures'!$K32:$M32)</f>
        <v>0.4123398936384074</v>
      </c>
      <c r="R30" s="8">
        <f>(D30*1000)/SUM('Population Figures'!$K32)</f>
        <v>2.3366054119509641</v>
      </c>
      <c r="S30" s="8">
        <f>(E30*1000)/SUM('Population Figures'!$K32)</f>
        <v>725.99392242685531</v>
      </c>
      <c r="T30" s="7">
        <f>(F30*1000)/SUM('Population Figures'!$M32)</f>
        <v>1740.4673995687672</v>
      </c>
      <c r="U30" s="8">
        <f>(G30*1000)/SUM('Population Figures'!$L32)</f>
        <v>47.954631171800052</v>
      </c>
      <c r="V30" s="8">
        <f>(H30*1000)/SUM('Population Figures'!$L32)</f>
        <v>169.13728021405154</v>
      </c>
      <c r="W30" s="8">
        <f>(I30*1000)/SUM('Population Figures'!$L32)</f>
        <v>31.259188811489864</v>
      </c>
      <c r="X30" s="8">
        <f>(J30*1000)/SUM('Population Figures'!$L32)</f>
        <v>17.428745753051089</v>
      </c>
      <c r="Y30" s="7">
        <f>(K30*1000)/SUM('Population Figures'!$L32)</f>
        <v>0</v>
      </c>
      <c r="Z30" s="7">
        <f>(L30*1000)/SUM('Population Figures'!$L32)</f>
        <v>0</v>
      </c>
      <c r="AA30" s="7">
        <f>(M30*1000)/SUM('Population Figures'!$L32)</f>
        <v>25.068743891374847</v>
      </c>
    </row>
    <row r="31" spans="1:27">
      <c r="A31" s="7" t="s">
        <v>58</v>
      </c>
      <c r="B31" s="8">
        <f t="shared" si="1"/>
        <v>174288.69916663688</v>
      </c>
      <c r="C31" s="7">
        <f t="shared" ref="C31:M31" si="29">C73*$E$39</f>
        <v>1714.0621982188206</v>
      </c>
      <c r="D31" s="8">
        <f t="shared" si="29"/>
        <v>79.429342966486644</v>
      </c>
      <c r="E31" s="8">
        <f t="shared" si="29"/>
        <v>34836.09821524375</v>
      </c>
      <c r="F31" s="7">
        <f t="shared" si="29"/>
        <v>82129.940627347198</v>
      </c>
      <c r="G31" s="8">
        <f t="shared" si="29"/>
        <v>5170.9653421080875</v>
      </c>
      <c r="H31" s="8">
        <f t="shared" si="29"/>
        <v>37458.417683035877</v>
      </c>
      <c r="I31" s="8">
        <f t="shared" si="29"/>
        <v>5945.6892235058485</v>
      </c>
      <c r="J31" s="8">
        <f t="shared" si="29"/>
        <v>1095.8947029579028</v>
      </c>
      <c r="K31" s="7">
        <f t="shared" si="29"/>
        <v>0</v>
      </c>
      <c r="L31" s="7">
        <f t="shared" si="29"/>
        <v>0</v>
      </c>
      <c r="M31" s="7">
        <f t="shared" si="29"/>
        <v>5858.2018312529062</v>
      </c>
      <c r="O31" s="7" t="s">
        <v>58</v>
      </c>
      <c r="P31" s="8">
        <f>(B31*1000)/SUM('Population Figures'!$K33:$M33)</f>
        <v>566.47934204386809</v>
      </c>
      <c r="Q31" s="7">
        <f>(C31*1000)/SUM('Population Figures'!$K33:$M33)</f>
        <v>5.5711060493997486</v>
      </c>
      <c r="R31" s="8">
        <f>(D31*1000)/SUM('Population Figures'!$K33)</f>
        <v>1.2151848565951693</v>
      </c>
      <c r="S31" s="8">
        <f>(E31*1000)/SUM('Population Figures'!$K33)</f>
        <v>532.9554221780146</v>
      </c>
      <c r="T31" s="7">
        <f>(F31*1000)/SUM('Population Figures'!$M33)</f>
        <v>1669.3755971248263</v>
      </c>
      <c r="U31" s="8">
        <f>(G31*1000)/SUM('Population Figures'!$L33)</f>
        <v>26.777582192908049</v>
      </c>
      <c r="V31" s="8">
        <f>(H31*1000)/SUM('Population Figures'!$L33)</f>
        <v>193.9765192691959</v>
      </c>
      <c r="W31" s="8">
        <f>(I31*1000)/SUM('Population Figures'!$L33)</f>
        <v>30.789450584677219</v>
      </c>
      <c r="X31" s="8">
        <f>(J31*1000)/SUM('Population Figures'!$L33)</f>
        <v>5.6750352287730328</v>
      </c>
      <c r="Y31" s="7">
        <f>(K31*1000)/SUM('Population Figures'!$L33)</f>
        <v>0</v>
      </c>
      <c r="Z31" s="7">
        <f>(L31*1000)/SUM('Population Figures'!$L33)</f>
        <v>0</v>
      </c>
      <c r="AA31" s="7">
        <f>(M31*1000)/SUM('Population Figures'!$L33)</f>
        <v>30.336401553808784</v>
      </c>
    </row>
    <row r="32" spans="1:27">
      <c r="A32" s="7" t="s">
        <v>59</v>
      </c>
      <c r="B32" s="8">
        <f t="shared" si="1"/>
        <v>53046.138452734369</v>
      </c>
      <c r="C32" s="7">
        <f t="shared" ref="C32:M32" si="30">C74*$E$39</f>
        <v>395.99556493436819</v>
      </c>
      <c r="D32" s="8">
        <f t="shared" si="30"/>
        <v>0</v>
      </c>
      <c r="E32" s="8">
        <f t="shared" si="30"/>
        <v>12448.534997675168</v>
      </c>
      <c r="F32" s="7">
        <f t="shared" si="30"/>
        <v>24129.253013340967</v>
      </c>
      <c r="G32" s="8">
        <f t="shared" si="30"/>
        <v>2181.4290568332203</v>
      </c>
      <c r="H32" s="8">
        <f t="shared" si="30"/>
        <v>9046.8870488930224</v>
      </c>
      <c r="I32" s="8">
        <f t="shared" si="30"/>
        <v>1985.7335741621662</v>
      </c>
      <c r="J32" s="8">
        <f t="shared" si="30"/>
        <v>683.78303945062419</v>
      </c>
      <c r="K32" s="7">
        <f t="shared" si="30"/>
        <v>0</v>
      </c>
      <c r="L32" s="7">
        <f t="shared" si="30"/>
        <v>0</v>
      </c>
      <c r="M32" s="7">
        <f t="shared" si="30"/>
        <v>2174.5221574448301</v>
      </c>
      <c r="O32" s="7" t="s">
        <v>59</v>
      </c>
      <c r="P32" s="8">
        <f>(B32*1000)/SUM('Population Figures'!$K34:$M34)</f>
        <v>604.10133757811604</v>
      </c>
      <c r="Q32" s="7">
        <f>(C32*1000)/SUM('Population Figures'!$K34:$M34)</f>
        <v>4.5096864244888755</v>
      </c>
      <c r="R32" s="8">
        <f>(D32*1000)/SUM('Population Figures'!$K34)</f>
        <v>0</v>
      </c>
      <c r="S32" s="8">
        <f>(E32*1000)/SUM('Population Figures'!$K34)</f>
        <v>651.6192942669162</v>
      </c>
      <c r="T32" s="7">
        <f>(F32*1000)/SUM('Population Figures'!$M34)</f>
        <v>1689.7236003740175</v>
      </c>
      <c r="U32" s="8">
        <f>(G32*1000)/SUM('Population Figures'!$L34)</f>
        <v>40.080642649344433</v>
      </c>
      <c r="V32" s="8">
        <f>(H32*1000)/SUM('Population Figures'!$L34)</f>
        <v>166.22362563651606</v>
      </c>
      <c r="W32" s="8">
        <f>(I32*1000)/SUM('Population Figures'!$L34)</f>
        <v>36.485017715102451</v>
      </c>
      <c r="X32" s="8">
        <f>(J32*1000)/SUM('Population Figures'!$L34)</f>
        <v>12.563536534939628</v>
      </c>
      <c r="Y32" s="7">
        <f>(K32*1000)/SUM('Population Figures'!$L34)</f>
        <v>0</v>
      </c>
      <c r="Z32" s="7">
        <f>(L32*1000)/SUM('Population Figures'!$L34)</f>
        <v>0</v>
      </c>
      <c r="AA32" s="7">
        <f>(M32*1000)/SUM('Population Figures'!$L34)</f>
        <v>39.953738239900602</v>
      </c>
    </row>
    <row r="33" spans="1:27">
      <c r="A33" s="7" t="s">
        <v>60</v>
      </c>
      <c r="B33" s="8">
        <f t="shared" si="1"/>
        <v>71371.293680031478</v>
      </c>
      <c r="C33" s="7">
        <f t="shared" ref="C33:M33" si="31">C75*$E$39</f>
        <v>1234.0326907257056</v>
      </c>
      <c r="D33" s="8">
        <f t="shared" si="31"/>
        <v>49.499445616796024</v>
      </c>
      <c r="E33" s="8">
        <f t="shared" si="31"/>
        <v>15997.530133409637</v>
      </c>
      <c r="F33" s="7">
        <f t="shared" si="31"/>
        <v>26003.325047390823</v>
      </c>
      <c r="G33" s="8">
        <f t="shared" si="31"/>
        <v>5395.4395722307672</v>
      </c>
      <c r="H33" s="8">
        <f t="shared" si="31"/>
        <v>12979.215100683145</v>
      </c>
      <c r="I33" s="8">
        <f t="shared" si="31"/>
        <v>5874.3179298258165</v>
      </c>
      <c r="J33" s="8">
        <f t="shared" si="31"/>
        <v>1541.389713509067</v>
      </c>
      <c r="K33" s="7">
        <f t="shared" si="31"/>
        <v>41.441396330340858</v>
      </c>
      <c r="L33" s="7">
        <f t="shared" si="31"/>
        <v>47.19714582066598</v>
      </c>
      <c r="M33" s="7">
        <f t="shared" si="31"/>
        <v>2207.9055044887159</v>
      </c>
      <c r="O33" s="7" t="s">
        <v>60</v>
      </c>
      <c r="P33" s="8">
        <f>(B33*1000)/SUM('Population Figures'!$K35:$M35)</f>
        <v>782.23688820727182</v>
      </c>
      <c r="Q33" s="7">
        <f>(C33*1000)/SUM('Population Figures'!$K35:$M35)</f>
        <v>13.525128131583797</v>
      </c>
      <c r="R33" s="8">
        <f>(D33*1000)/SUM('Population Figures'!$K35)</f>
        <v>2.5992147456834709</v>
      </c>
      <c r="S33" s="8">
        <f>(E33*1000)/SUM('Population Figures'!$K35)</f>
        <v>840.02993769216744</v>
      </c>
      <c r="T33" s="7">
        <f>(F33*1000)/SUM('Population Figures'!$M35)</f>
        <v>1780.5618356197494</v>
      </c>
      <c r="U33" s="8">
        <f>(G33*1000)/SUM('Population Figures'!$L35)</f>
        <v>93.683837550888441</v>
      </c>
      <c r="V33" s="8">
        <f>(H33*1000)/SUM('Population Figures'!$L35)</f>
        <v>225.364896177996</v>
      </c>
      <c r="W33" s="8">
        <f>(I33*1000)/SUM('Population Figures'!$L35)</f>
        <v>101.99885278903001</v>
      </c>
      <c r="X33" s="8">
        <f>(J33*1000)/SUM('Population Figures'!$L35)</f>
        <v>26.763955297768213</v>
      </c>
      <c r="Y33" s="7">
        <f>(K33*1000)/SUM('Population Figures'!$L35)</f>
        <v>0.71956862637763686</v>
      </c>
      <c r="Z33" s="7">
        <f>(L33*1000)/SUM('Population Figures'!$L35)</f>
        <v>0.81950871337453091</v>
      </c>
      <c r="AA33" s="7">
        <f>(M33*1000)/SUM('Population Figures'!$L35)</f>
        <v>38.337017372008539</v>
      </c>
    </row>
    <row r="34" spans="1:27">
      <c r="A34" s="7" t="s">
        <v>61</v>
      </c>
      <c r="B34" s="8">
        <f t="shared" si="1"/>
        <v>79879.44257663007</v>
      </c>
      <c r="C34" s="7">
        <f t="shared" ref="C34:M34" si="32">C76*$E$39</f>
        <v>3364.8111520440648</v>
      </c>
      <c r="D34" s="8">
        <f t="shared" si="32"/>
        <v>69.068993883901427</v>
      </c>
      <c r="E34" s="8">
        <f t="shared" si="32"/>
        <v>19139.018205229087</v>
      </c>
      <c r="F34" s="7">
        <f t="shared" si="32"/>
        <v>31356.172073393187</v>
      </c>
      <c r="G34" s="8">
        <f t="shared" si="32"/>
        <v>5896.1897778890525</v>
      </c>
      <c r="H34" s="8">
        <f t="shared" si="32"/>
        <v>12275.862512965414</v>
      </c>
      <c r="I34" s="8">
        <f t="shared" si="32"/>
        <v>4248.8942737580028</v>
      </c>
      <c r="J34" s="8">
        <f t="shared" si="32"/>
        <v>1131.5803497979184</v>
      </c>
      <c r="K34" s="7">
        <f t="shared" si="32"/>
        <v>9.209199184520191</v>
      </c>
      <c r="L34" s="7">
        <f t="shared" si="32"/>
        <v>0</v>
      </c>
      <c r="M34" s="7">
        <f t="shared" si="32"/>
        <v>2388.6360384849245</v>
      </c>
      <c r="O34" s="7" t="s">
        <v>61</v>
      </c>
      <c r="P34" s="8">
        <f>(B34*1000)/SUM('Population Figures'!$K36:$M36)</f>
        <v>482.07267698630096</v>
      </c>
      <c r="Q34" s="7">
        <f>(C34*1000)/SUM('Population Figures'!$K36:$M36)</f>
        <v>20.306645455908658</v>
      </c>
      <c r="R34" s="8">
        <f>(D34*1000)/SUM('Population Figures'!$K36)</f>
        <v>1.7755525420026073</v>
      </c>
      <c r="S34" s="8">
        <f>(E34*1000)/SUM('Population Figures'!$K36)</f>
        <v>492.00560938892261</v>
      </c>
      <c r="T34" s="7">
        <f>(F34*1000)/SUM('Population Figures'!$M36)</f>
        <v>1507.7257332015765</v>
      </c>
      <c r="U34" s="8">
        <f>(G34*1000)/SUM('Population Figures'!$L36)</f>
        <v>55.62285763505799</v>
      </c>
      <c r="V34" s="8">
        <f>(H34*1000)/SUM('Population Figures'!$L36)</f>
        <v>115.80674615780133</v>
      </c>
      <c r="W34" s="8">
        <f>(I34*1000)/SUM('Population Figures'!$L36)</f>
        <v>40.082773824872902</v>
      </c>
      <c r="X34" s="8">
        <f>(J34*1000)/SUM('Population Figures'!$L36)</f>
        <v>10.674984196654043</v>
      </c>
      <c r="Y34" s="7">
        <f>(K34*1000)/SUM('Population Figures'!$L36)</f>
        <v>8.6876778813054265E-2</v>
      </c>
      <c r="Z34" s="7">
        <f>(L34*1000)/SUM('Population Figures'!$L36)</f>
        <v>0</v>
      </c>
      <c r="AA34" s="7">
        <f>(M34*1000)/SUM('Population Figures'!$L36)</f>
        <v>22.533664504635947</v>
      </c>
    </row>
    <row r="35" spans="1:27">
      <c r="A35" s="52" t="s">
        <v>5</v>
      </c>
      <c r="B35" s="53">
        <f t="shared" si="1"/>
        <v>3447102.2536571412</v>
      </c>
      <c r="C35" s="52">
        <f t="shared" ref="C35:M35" si="33">C77*$E$39</f>
        <v>30999.315604993029</v>
      </c>
      <c r="D35" s="53">
        <f t="shared" si="33"/>
        <v>3072.4190779355486</v>
      </c>
      <c r="E35" s="53">
        <f t="shared" si="33"/>
        <v>735325.77613648563</v>
      </c>
      <c r="F35" s="52">
        <f t="shared" si="33"/>
        <v>1556828.935941915</v>
      </c>
      <c r="G35" s="53">
        <f t="shared" si="33"/>
        <v>221392.60184555958</v>
      </c>
      <c r="H35" s="53">
        <f t="shared" si="33"/>
        <v>579034.15447619732</v>
      </c>
      <c r="I35" s="53">
        <f t="shared" si="33"/>
        <v>150180.16685146108</v>
      </c>
      <c r="J35" s="53">
        <f t="shared" si="33"/>
        <v>48748.895883257632</v>
      </c>
      <c r="K35" s="52">
        <f t="shared" si="33"/>
        <v>2559.0062233985482</v>
      </c>
      <c r="L35" s="52">
        <f t="shared" si="33"/>
        <v>2568.2154225830682</v>
      </c>
      <c r="M35" s="52">
        <f t="shared" si="33"/>
        <v>116392.76619335456</v>
      </c>
      <c r="O35" s="52" t="s">
        <v>5</v>
      </c>
      <c r="P35" s="53">
        <f>(B35*1000)/SUM('Population Figures'!$K37:$M37)</f>
        <v>673.67004507751597</v>
      </c>
      <c r="Q35" s="52">
        <f>(C35*1000)/SUM('Population Figures'!$K37:$M37)</f>
        <v>6.0582218931370617</v>
      </c>
      <c r="R35" s="53">
        <f>(D35*1000)/SUM('Population Figures'!$K37)</f>
        <v>2.9255840161642639</v>
      </c>
      <c r="S35" s="53">
        <f>(E35*1000)/SUM('Population Figures'!$K37)</f>
        <v>700.18356310428169</v>
      </c>
      <c r="T35" s="52">
        <f>(F35*1000)/SUM('Population Figures'!$M37)</f>
        <v>1857.8620376218603</v>
      </c>
      <c r="U35" s="53">
        <f>(G35*1000)/SUM('Population Figures'!$L37)</f>
        <v>68.569307131247882</v>
      </c>
      <c r="V35" s="53">
        <f>(H35*1000)/SUM('Population Figures'!$L37)</f>
        <v>179.33738727845005</v>
      </c>
      <c r="W35" s="53">
        <f>(I35*1000)/SUM('Population Figures'!$L37)</f>
        <v>46.513523487309016</v>
      </c>
      <c r="X35" s="53">
        <f>(J35*1000)/SUM('Population Figures'!$L37)</f>
        <v>15.098417861587466</v>
      </c>
      <c r="Y35" s="52">
        <f>(K35*1000)/SUM('Population Figures'!$L37)</f>
        <v>0.79257067408871573</v>
      </c>
      <c r="Z35" s="52">
        <f>(L35*1000)/SUM('Population Figures'!$L37)</f>
        <v>0.79542293022578714</v>
      </c>
      <c r="AA35" s="52">
        <f>(M35*1000)/SUM('Population Figures'!$L37)</f>
        <v>36.048952252411176</v>
      </c>
    </row>
    <row r="37" spans="1:27" ht="13.5" thickBot="1"/>
    <row r="38" spans="1:27">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27" ht="13.5" thickBot="1">
      <c r="A39" s="556" t="s">
        <v>374</v>
      </c>
      <c r="B39" s="560">
        <f>Deflators!$K$2/Deflators!B2</f>
        <v>1.2578653222339471</v>
      </c>
      <c r="C39" s="560">
        <f>Deflators!$K$2/Deflators!C2</f>
        <v>1.2198372792278347</v>
      </c>
      <c r="D39" s="560">
        <f>Deflators!$K$2/Deflators!D2</f>
        <v>1.1851747290380392</v>
      </c>
      <c r="E39" s="561">
        <f>Deflators!$K$2/Deflators!E2</f>
        <v>1.1511498980650239</v>
      </c>
      <c r="F39" s="565">
        <f>Deflators!$K$2/Deflators!F2</f>
        <v>1.1192446793712618</v>
      </c>
      <c r="G39" s="565">
        <f>Deflators!$K$2/Deflators!G2</f>
        <v>1.0903639628245232</v>
      </c>
      <c r="H39" s="565">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27">
      <c r="N40" s="233"/>
      <c r="S40" s="11"/>
      <c r="V40" s="11"/>
      <c r="W40" s="11"/>
      <c r="X40" s="149"/>
    </row>
    <row r="41" spans="1:27">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63.75">
      <c r="A44" s="21" t="s">
        <v>26</v>
      </c>
      <c r="B44" s="10" t="s">
        <v>9</v>
      </c>
      <c r="C44" s="9" t="s">
        <v>10</v>
      </c>
      <c r="D44" s="10" t="s">
        <v>11</v>
      </c>
      <c r="E44" s="10" t="s">
        <v>12</v>
      </c>
      <c r="F44" s="9" t="s">
        <v>14</v>
      </c>
      <c r="G44" s="10" t="s">
        <v>15</v>
      </c>
      <c r="H44" s="10" t="s">
        <v>16</v>
      </c>
      <c r="I44" s="10" t="s">
        <v>17</v>
      </c>
      <c r="J44" s="186" t="s">
        <v>351</v>
      </c>
      <c r="K44" s="18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27">
      <c r="A45" s="7" t="s">
        <v>31</v>
      </c>
      <c r="B45" s="425">
        <v>140106</v>
      </c>
      <c r="C45" s="280">
        <v>676</v>
      </c>
      <c r="D45" s="425">
        <v>0</v>
      </c>
      <c r="E45" s="425">
        <v>29638</v>
      </c>
      <c r="F45" s="280">
        <v>56068</v>
      </c>
      <c r="G45" s="425">
        <v>9984</v>
      </c>
      <c r="H45" s="425">
        <v>26801</v>
      </c>
      <c r="I45" s="425">
        <v>9291</v>
      </c>
      <c r="J45" s="425">
        <v>3107</v>
      </c>
      <c r="K45" s="280">
        <v>0</v>
      </c>
      <c r="L45" s="280">
        <v>10</v>
      </c>
      <c r="M45" s="280">
        <v>4531</v>
      </c>
      <c r="N45" s="233"/>
      <c r="O45" s="7" t="s">
        <v>31</v>
      </c>
      <c r="P45" s="425">
        <f>(B45*1000)/SUM('Population Figures'!$K5:$M5)</f>
        <v>677.23317865429237</v>
      </c>
      <c r="Q45" s="280">
        <f>(C45/SUM('Population Figures'!K5:M5))*1000</f>
        <v>3.2675947409126063</v>
      </c>
      <c r="R45" s="425">
        <f>(D45/'Population Figures'!K5)*1000</f>
        <v>0</v>
      </c>
      <c r="S45" s="425">
        <f>(E45/'Population Figures'!K5)*1000</f>
        <v>795.45881531978841</v>
      </c>
      <c r="T45" s="280">
        <f>(F45/'Population Figures'!M5)*1000</f>
        <v>1736.7116838062198</v>
      </c>
      <c r="U45" s="425">
        <f>(G45/'Population Figures'!L5)*1000</f>
        <v>72.697088184538771</v>
      </c>
      <c r="V45" s="425">
        <f>(H45/'Population Figures'!L5)*1000</f>
        <v>195.14770236716981</v>
      </c>
      <c r="W45" s="425">
        <f>(I45/'Population Figures'!L5)*1000</f>
        <v>67.651106402498968</v>
      </c>
      <c r="X45" s="500">
        <f>(J45/'Population Figures'!L5)*1000</f>
        <v>22.623182390761411</v>
      </c>
      <c r="Y45" s="186">
        <f>(K45/'Population Figures'!L5)*1000</f>
        <v>0</v>
      </c>
      <c r="Z45" s="186">
        <f>(L45/'Population Figures'!L5)*1000</f>
        <v>7.2813589928424238E-2</v>
      </c>
      <c r="AA45" s="501">
        <f>(M45/'Population Figures'!L5)*1000</f>
        <v>32.991837596569027</v>
      </c>
    </row>
    <row r="46" spans="1:27">
      <c r="A46" s="7" t="s">
        <v>32</v>
      </c>
      <c r="B46" s="425">
        <v>119935</v>
      </c>
      <c r="C46" s="280">
        <v>882</v>
      </c>
      <c r="D46" s="425">
        <v>108</v>
      </c>
      <c r="E46" s="425">
        <v>22589</v>
      </c>
      <c r="F46" s="280">
        <v>55687</v>
      </c>
      <c r="G46" s="425">
        <v>3787</v>
      </c>
      <c r="H46" s="425">
        <v>29085</v>
      </c>
      <c r="I46" s="425">
        <v>4034</v>
      </c>
      <c r="J46" s="425">
        <v>1512</v>
      </c>
      <c r="K46" s="280">
        <v>0</v>
      </c>
      <c r="L46" s="280">
        <v>0</v>
      </c>
      <c r="M46" s="280">
        <v>2251</v>
      </c>
      <c r="N46" s="233"/>
      <c r="O46" s="7" t="s">
        <v>32</v>
      </c>
      <c r="P46" s="425">
        <f>(B46*1000)/SUM('Population Figures'!$K6:$M6)</f>
        <v>507.63988825869802</v>
      </c>
      <c r="Q46" s="280">
        <f>(C46/SUM('Population Figures'!K6:M6))*1000</f>
        <v>3.733175315330568</v>
      </c>
      <c r="R46" s="425">
        <f>(D46/'Population Figures'!K6)*1000</f>
        <v>2.0518276464776961</v>
      </c>
      <c r="S46" s="425">
        <f>(E46/'Population Figures'!K6)*1000</f>
        <v>429.15495098411731</v>
      </c>
      <c r="T46" s="280">
        <f>(F46/'Population Figures'!M6)*1000</f>
        <v>1526.8425093222197</v>
      </c>
      <c r="U46" s="425">
        <f>(G46/'Population Figures'!L6)*1000</f>
        <v>25.735294117647058</v>
      </c>
      <c r="V46" s="425">
        <f>(H46/'Population Figures'!L6)*1000</f>
        <v>197.65276720669783</v>
      </c>
      <c r="W46" s="425">
        <f>(I46/'Population Figures'!L6)*1000</f>
        <v>27.413830596933785</v>
      </c>
      <c r="X46" s="500">
        <f>(J46/'Population Figures'!L6)*1000</f>
        <v>10.275089703164076</v>
      </c>
      <c r="Y46" s="186">
        <f>(K46/'Population Figures'!L6)*1000</f>
        <v>0</v>
      </c>
      <c r="Z46" s="186">
        <f>(L46/'Population Figures'!L6)*1000</f>
        <v>0</v>
      </c>
      <c r="AA46" s="501">
        <f>(M46/'Population Figures'!L6)*1000</f>
        <v>15.297107752527999</v>
      </c>
    </row>
    <row r="47" spans="1:27">
      <c r="A47" s="7" t="s">
        <v>33</v>
      </c>
      <c r="B47" s="425">
        <v>60701</v>
      </c>
      <c r="C47" s="280">
        <v>333</v>
      </c>
      <c r="D47" s="425">
        <v>142</v>
      </c>
      <c r="E47" s="425">
        <v>12986</v>
      </c>
      <c r="F47" s="280">
        <v>33315</v>
      </c>
      <c r="G47" s="425">
        <v>2641</v>
      </c>
      <c r="H47" s="425">
        <v>7897</v>
      </c>
      <c r="I47" s="425">
        <v>1667</v>
      </c>
      <c r="J47" s="425">
        <v>296</v>
      </c>
      <c r="K47" s="280">
        <v>5</v>
      </c>
      <c r="L47" s="280">
        <v>0</v>
      </c>
      <c r="M47" s="280">
        <v>1419</v>
      </c>
      <c r="N47" s="233"/>
      <c r="O47" s="7" t="s">
        <v>33</v>
      </c>
      <c r="P47" s="425">
        <f>(B47*1000)/SUM('Population Figures'!$K7:$M7)</f>
        <v>555.25978777899741</v>
      </c>
      <c r="Q47" s="280">
        <f>(C47/SUM('Population Figures'!K7:M7))*1000</f>
        <v>3.0461031833150387</v>
      </c>
      <c r="R47" s="425">
        <f>(D47/'Population Figures'!K7)*1000</f>
        <v>6.2280701754385968</v>
      </c>
      <c r="S47" s="425">
        <f>(E47/'Population Figures'!K7)*1000</f>
        <v>569.56140350877195</v>
      </c>
      <c r="T47" s="280">
        <f>(F47/'Population Figures'!M7)*1000</f>
        <v>1605.7743288186243</v>
      </c>
      <c r="U47" s="425">
        <f>(G47/'Population Figures'!L7)*1000</f>
        <v>40.153254374895475</v>
      </c>
      <c r="V47" s="425">
        <f>(H47/'Population Figures'!L7)*1000</f>
        <v>120.06446414182111</v>
      </c>
      <c r="W47" s="425">
        <f>(I47/'Population Figures'!L7)*1000</f>
        <v>25.344746324479651</v>
      </c>
      <c r="X47" s="500">
        <f>(J47/'Population Figures'!L7)*1000</f>
        <v>4.5003268818512154</v>
      </c>
      <c r="Y47" s="186">
        <f>(K47/'Population Figures'!L7)*1000</f>
        <v>7.6019035166405666E-2</v>
      </c>
      <c r="Z47" s="186">
        <f>(L47/'Population Figures'!L7)*1000</f>
        <v>0</v>
      </c>
      <c r="AA47" s="501">
        <f>(M47/'Population Figures'!L7)*1000</f>
        <v>21.574202180225928</v>
      </c>
    </row>
    <row r="48" spans="1:27">
      <c r="A48" s="7" t="s">
        <v>34</v>
      </c>
      <c r="B48" s="425">
        <v>46475</v>
      </c>
      <c r="C48" s="280">
        <v>989</v>
      </c>
      <c r="D48" s="425">
        <v>64</v>
      </c>
      <c r="E48" s="425">
        <v>9417</v>
      </c>
      <c r="F48" s="280">
        <v>24522</v>
      </c>
      <c r="G48" s="425">
        <v>783</v>
      </c>
      <c r="H48" s="425">
        <v>8778</v>
      </c>
      <c r="I48" s="425">
        <v>1768</v>
      </c>
      <c r="J48" s="425">
        <v>170</v>
      </c>
      <c r="K48" s="280">
        <v>0</v>
      </c>
      <c r="L48" s="280">
        <v>0</v>
      </c>
      <c r="M48" s="280">
        <v>-16</v>
      </c>
      <c r="N48" s="233"/>
      <c r="O48" s="7" t="s">
        <v>34</v>
      </c>
      <c r="P48" s="425">
        <f>(B48*1000)/SUM('Population Figures'!$K8:$M8)</f>
        <v>508.5348506401138</v>
      </c>
      <c r="Q48" s="280">
        <f>(C48/SUM('Population Figures'!K8:M8))*1000</f>
        <v>10.821752927016083</v>
      </c>
      <c r="R48" s="425">
        <f>(D48/'Population Figures'!K8)*1000</f>
        <v>3.5423700669729343</v>
      </c>
      <c r="S48" s="425">
        <f>(E48/'Population Figures'!K8)*1000</f>
        <v>521.22654563568938</v>
      </c>
      <c r="T48" s="280">
        <f>(F48/'Population Figures'!M8)*1000</f>
        <v>1347.5847667197888</v>
      </c>
      <c r="U48" s="425">
        <f>(G48/'Population Figures'!L8)*1000</f>
        <v>14.203823966912164</v>
      </c>
      <c r="V48" s="425">
        <f>(H48/'Population Figures'!L8)*1000</f>
        <v>159.235206617567</v>
      </c>
      <c r="W48" s="425">
        <f>(I48/'Population Figures'!L8)*1000</f>
        <v>32.071980553640749</v>
      </c>
      <c r="X48" s="500">
        <f>(J48/'Population Figures'!L8)*1000</f>
        <v>3.0838442840039182</v>
      </c>
      <c r="Y48" s="186">
        <f>(K48/'Population Figures'!L8)*1000</f>
        <v>0</v>
      </c>
      <c r="Z48" s="186">
        <f>(L48/'Population Figures'!L8)*1000</f>
        <v>0</v>
      </c>
      <c r="AA48" s="501">
        <f>(M48/'Population Figures'!L8)*1000</f>
        <v>-0.29024416790625113</v>
      </c>
    </row>
    <row r="49" spans="1:27">
      <c r="A49" s="7" t="s">
        <v>35</v>
      </c>
      <c r="B49" s="425">
        <v>27216</v>
      </c>
      <c r="C49" s="280">
        <v>420</v>
      </c>
      <c r="D49" s="425">
        <v>22</v>
      </c>
      <c r="E49" s="425">
        <v>6048</v>
      </c>
      <c r="F49" s="280">
        <v>11955</v>
      </c>
      <c r="G49" s="425">
        <v>2414</v>
      </c>
      <c r="H49" s="425">
        <v>3370</v>
      </c>
      <c r="I49" s="425">
        <v>1662</v>
      </c>
      <c r="J49" s="425">
        <v>149</v>
      </c>
      <c r="K49" s="280">
        <v>0</v>
      </c>
      <c r="L49" s="280">
        <v>0</v>
      </c>
      <c r="M49" s="280">
        <v>1176</v>
      </c>
      <c r="N49" s="233"/>
      <c r="O49" s="7" t="s">
        <v>35</v>
      </c>
      <c r="P49" s="425">
        <f>(B49*1000)/SUM('Population Figures'!$K9:$M9)</f>
        <v>556.56441717791415</v>
      </c>
      <c r="Q49" s="280">
        <f>(C49/SUM('Population Figures'!K9:M9))*1000</f>
        <v>8.5889570552147241</v>
      </c>
      <c r="R49" s="425">
        <f>(D49/'Population Figures'!K9)*1000</f>
        <v>2.0421423930195859</v>
      </c>
      <c r="S49" s="425">
        <f>(E49/'Population Figures'!K9)*1000</f>
        <v>561.40350877192975</v>
      </c>
      <c r="T49" s="280">
        <f>(F49/'Population Figures'!M9)*1000</f>
        <v>1610.5348241950694</v>
      </c>
      <c r="U49" s="425">
        <f>(G49/'Population Figures'!L9)*1000</f>
        <v>78.621677957269412</v>
      </c>
      <c r="V49" s="425">
        <f>(H49/'Population Figures'!L9)*1000</f>
        <v>109.75768629494529</v>
      </c>
      <c r="W49" s="425">
        <f>(I49/'Population Figures'!L9)*1000</f>
        <v>54.129755080771233</v>
      </c>
      <c r="X49" s="500">
        <f>(J49/'Population Figures'!L9)*1000</f>
        <v>4.852787910369984</v>
      </c>
      <c r="Y49" s="186">
        <f>(K49/'Population Figures'!L9)*1000</f>
        <v>0</v>
      </c>
      <c r="Z49" s="186">
        <f>(L49/'Population Figures'!L9)*1000</f>
        <v>0</v>
      </c>
      <c r="AA49" s="501">
        <f>(M49/'Population Figures'!L9)*1000</f>
        <v>38.301198540906725</v>
      </c>
    </row>
    <row r="50" spans="1:27">
      <c r="A50" s="7" t="s">
        <v>36</v>
      </c>
      <c r="B50" s="425">
        <v>86529</v>
      </c>
      <c r="C50" s="280">
        <v>1311</v>
      </c>
      <c r="D50" s="425">
        <v>118</v>
      </c>
      <c r="E50" s="425">
        <v>16911</v>
      </c>
      <c r="F50" s="280">
        <v>42618</v>
      </c>
      <c r="G50" s="425">
        <v>6106</v>
      </c>
      <c r="H50" s="425">
        <v>12477</v>
      </c>
      <c r="I50" s="425">
        <v>3656</v>
      </c>
      <c r="J50" s="425">
        <v>438</v>
      </c>
      <c r="K50" s="280">
        <v>0</v>
      </c>
      <c r="L50" s="280">
        <v>1</v>
      </c>
      <c r="M50" s="280">
        <v>2893</v>
      </c>
      <c r="N50" s="233"/>
      <c r="O50" s="7" t="s">
        <v>36</v>
      </c>
      <c r="P50" s="425">
        <f>(B50*1000)/SUM('Population Figures'!$K10:$M10)</f>
        <v>584.53691819225833</v>
      </c>
      <c r="Q50" s="280">
        <f>(C50/SUM('Population Figures'!K10:M10))*1000</f>
        <v>8.8563129095453625</v>
      </c>
      <c r="R50" s="425">
        <f>(D50/'Population Figures'!K10)*1000</f>
        <v>4.0197581331970706</v>
      </c>
      <c r="S50" s="425">
        <f>(E50/'Population Figures'!K10)*1000</f>
        <v>576.08584568216656</v>
      </c>
      <c r="T50" s="280">
        <f>(F50/'Population Figures'!M10)*1000</f>
        <v>1395.2985856469356</v>
      </c>
      <c r="U50" s="425">
        <f>(G50/'Population Figures'!L10)*1000</f>
        <v>69.283226106591329</v>
      </c>
      <c r="V50" s="425">
        <f>(H50/'Population Figures'!L10)*1000</f>
        <v>141.57333968751061</v>
      </c>
      <c r="W50" s="425">
        <f>(I50/'Population Figures'!L10)*1000</f>
        <v>41.483700400540108</v>
      </c>
      <c r="X50" s="500">
        <f>(J50/'Population Figures'!L10)*1000</f>
        <v>4.9698743915307899</v>
      </c>
      <c r="Y50" s="186">
        <f>(K50/'Population Figures'!L10)*1000</f>
        <v>0</v>
      </c>
      <c r="Z50" s="186">
        <f>(L50/'Population Figures'!L10)*1000</f>
        <v>1.1346745186143354E-2</v>
      </c>
      <c r="AA50" s="501">
        <f>(M50/'Population Figures'!L10)*1000</f>
        <v>32.826133823512727</v>
      </c>
    </row>
    <row r="51" spans="1:27">
      <c r="A51" s="7" t="s">
        <v>37</v>
      </c>
      <c r="B51" s="425">
        <v>89167</v>
      </c>
      <c r="C51" s="280">
        <v>787</v>
      </c>
      <c r="D51" s="425">
        <v>235</v>
      </c>
      <c r="E51" s="425">
        <v>24242</v>
      </c>
      <c r="F51" s="280">
        <v>38290</v>
      </c>
      <c r="G51" s="425">
        <v>6252</v>
      </c>
      <c r="H51" s="425">
        <v>10729</v>
      </c>
      <c r="I51" s="425">
        <v>2897</v>
      </c>
      <c r="J51" s="425">
        <v>588</v>
      </c>
      <c r="K51" s="280">
        <v>206</v>
      </c>
      <c r="L51" s="280">
        <v>0</v>
      </c>
      <c r="M51" s="280">
        <v>4941</v>
      </c>
      <c r="N51" s="233"/>
      <c r="O51" s="7" t="s">
        <v>37</v>
      </c>
      <c r="P51" s="425">
        <f>(B51*1000)/SUM('Population Figures'!$K11:$M11)</f>
        <v>627.18576352254343</v>
      </c>
      <c r="Q51" s="280">
        <f>(C51/SUM('Population Figures'!K11:M11))*1000</f>
        <v>5.5356263628050923</v>
      </c>
      <c r="R51" s="425">
        <f>(D51/'Population Figures'!K11)*1000</f>
        <v>8.6203734272403807</v>
      </c>
      <c r="S51" s="425">
        <f>(E51/'Population Figures'!K11)*1000</f>
        <v>889.25571329004799</v>
      </c>
      <c r="T51" s="280">
        <f>(F51/'Population Figures'!M11)*1000</f>
        <v>1495.0023426518819</v>
      </c>
      <c r="U51" s="425">
        <f>(G51/'Population Figures'!L11)*1000</f>
        <v>70.013550287243689</v>
      </c>
      <c r="V51" s="425">
        <f>(H51/'Population Figures'!L11)*1000</f>
        <v>120.14961308890557</v>
      </c>
      <c r="W51" s="425">
        <f>(I51/'Population Figures'!L11)*1000</f>
        <v>32.442299293369317</v>
      </c>
      <c r="X51" s="500">
        <f>(J51/'Population Figures'!L11)*1000</f>
        <v>6.5847676853645698</v>
      </c>
      <c r="Y51" s="186">
        <f>(K51/'Population Figures'!L11)*1000</f>
        <v>2.3069084067773833</v>
      </c>
      <c r="Z51" s="186">
        <f>(L51/'Population Figures'!L11)*1000</f>
        <v>0</v>
      </c>
      <c r="AA51" s="501">
        <f>(M51/'Population Figures'!L11)*1000</f>
        <v>55.332206009160444</v>
      </c>
    </row>
    <row r="52" spans="1:27">
      <c r="A52" s="7" t="s">
        <v>38</v>
      </c>
      <c r="B52" s="425">
        <v>71708</v>
      </c>
      <c r="C52" s="280">
        <v>540</v>
      </c>
      <c r="D52" s="425">
        <v>141</v>
      </c>
      <c r="E52" s="425">
        <v>13802</v>
      </c>
      <c r="F52" s="280">
        <v>35109</v>
      </c>
      <c r="G52" s="425">
        <v>3947</v>
      </c>
      <c r="H52" s="425">
        <v>12681</v>
      </c>
      <c r="I52" s="425">
        <v>2594</v>
      </c>
      <c r="J52" s="425">
        <v>203</v>
      </c>
      <c r="K52" s="280">
        <v>0</v>
      </c>
      <c r="L52" s="280">
        <v>0</v>
      </c>
      <c r="M52" s="280">
        <v>2691</v>
      </c>
      <c r="N52" s="233"/>
      <c r="O52" s="7" t="s">
        <v>38</v>
      </c>
      <c r="P52" s="425">
        <f>(B52*1000)/SUM('Population Figures'!$K12:$M12)</f>
        <v>601.12331293486466</v>
      </c>
      <c r="Q52" s="280">
        <f>(C52/SUM('Population Figures'!K12:M12))*1000</f>
        <v>4.5267834688574062</v>
      </c>
      <c r="R52" s="425">
        <f>(D52/'Population Figures'!K12)*1000</f>
        <v>5.5753262158956103</v>
      </c>
      <c r="S52" s="425">
        <f>(E52/'Population Figures'!K12)*1000</f>
        <v>545.74930802688812</v>
      </c>
      <c r="T52" s="280">
        <f>(F52/'Population Figures'!M12)*1000</f>
        <v>1754.39736158305</v>
      </c>
      <c r="U52" s="425">
        <f>(G52/'Population Figures'!L12)*1000</f>
        <v>53.346488619776181</v>
      </c>
      <c r="V52" s="425">
        <f>(H52/'Population Figures'!L12)*1000</f>
        <v>171.39265826890849</v>
      </c>
      <c r="W52" s="425">
        <f>(I52/'Population Figures'!L12)*1000</f>
        <v>35.059739417202792</v>
      </c>
      <c r="X52" s="500">
        <f>(J52/'Population Figures'!L12)*1000</f>
        <v>2.7436881656484835</v>
      </c>
      <c r="Y52" s="186">
        <f>(K52/'Population Figures'!L12)*1000</f>
        <v>0</v>
      </c>
      <c r="Z52" s="186">
        <f>(L52/'Population Figures'!L12)*1000</f>
        <v>0</v>
      </c>
      <c r="AA52" s="501">
        <f>(M52/'Population Figures'!L12)*1000</f>
        <v>36.370762826404281</v>
      </c>
    </row>
    <row r="53" spans="1:27">
      <c r="A53" s="7" t="s">
        <v>39</v>
      </c>
      <c r="B53" s="425">
        <v>46416</v>
      </c>
      <c r="C53" s="280">
        <v>896</v>
      </c>
      <c r="D53" s="425">
        <v>0</v>
      </c>
      <c r="E53" s="425">
        <v>9456</v>
      </c>
      <c r="F53" s="280">
        <v>20320</v>
      </c>
      <c r="G53" s="425">
        <v>2669</v>
      </c>
      <c r="H53" s="425">
        <v>9368</v>
      </c>
      <c r="I53" s="425">
        <v>2661</v>
      </c>
      <c r="J53" s="425">
        <v>521</v>
      </c>
      <c r="K53" s="280">
        <v>0</v>
      </c>
      <c r="L53" s="280">
        <v>0</v>
      </c>
      <c r="M53" s="280">
        <v>525</v>
      </c>
      <c r="N53" s="233"/>
      <c r="O53" s="7" t="s">
        <v>39</v>
      </c>
      <c r="P53" s="425">
        <f>(B53*1000)/SUM('Population Figures'!$K13:$M13)</f>
        <v>440.12895884695621</v>
      </c>
      <c r="Q53" s="280">
        <f>(C53/SUM('Population Figures'!K13:M13))*1000</f>
        <v>8.4961122700549971</v>
      </c>
      <c r="R53" s="425">
        <f>(D53/'Population Figures'!K13)*1000</f>
        <v>0</v>
      </c>
      <c r="S53" s="425">
        <f>(E53/'Population Figures'!K13)*1000</f>
        <v>412.18778605989274</v>
      </c>
      <c r="T53" s="280">
        <f>(F53/'Population Figures'!M13)*1000</f>
        <v>1098.2596476056642</v>
      </c>
      <c r="U53" s="425">
        <f>(G53/'Population Figures'!L13)*1000</f>
        <v>41.692050549072903</v>
      </c>
      <c r="V53" s="425">
        <f>(H53/'Population Figures'!L13)*1000</f>
        <v>146.3361294656107</v>
      </c>
      <c r="W53" s="425">
        <f>(I53/'Population Figures'!L13)*1000</f>
        <v>41.567083743380664</v>
      </c>
      <c r="X53" s="500">
        <f>(J53/'Population Figures'!L13)*1000</f>
        <v>8.1384632207069991</v>
      </c>
      <c r="Y53" s="186">
        <f>(K53/'Population Figures'!L13)*1000</f>
        <v>0</v>
      </c>
      <c r="Z53" s="186">
        <f>(L53/'Population Figures'!L13)*1000</f>
        <v>0</v>
      </c>
      <c r="AA53" s="501">
        <f>(M53/'Population Figures'!L13)*1000</f>
        <v>8.2009466235531203</v>
      </c>
    </row>
    <row r="54" spans="1:27">
      <c r="A54" s="7" t="s">
        <v>40</v>
      </c>
      <c r="B54" s="425">
        <v>56149</v>
      </c>
      <c r="C54" s="280">
        <v>763</v>
      </c>
      <c r="D54" s="425">
        <v>61</v>
      </c>
      <c r="E54" s="425">
        <v>10092</v>
      </c>
      <c r="F54" s="280">
        <v>25151</v>
      </c>
      <c r="G54" s="425">
        <v>4008</v>
      </c>
      <c r="H54" s="425">
        <v>12640</v>
      </c>
      <c r="I54" s="425">
        <v>1940</v>
      </c>
      <c r="J54" s="425">
        <v>756</v>
      </c>
      <c r="K54" s="280">
        <v>0</v>
      </c>
      <c r="L54" s="280">
        <v>0</v>
      </c>
      <c r="M54" s="280">
        <v>738</v>
      </c>
      <c r="N54" s="233"/>
      <c r="O54" s="7" t="s">
        <v>40</v>
      </c>
      <c r="P54" s="425">
        <f>(B54*1000)/SUM('Population Figures'!$K14:$M14)</f>
        <v>604.85834320801462</v>
      </c>
      <c r="Q54" s="280">
        <f>(C54/SUM('Population Figures'!K14:M14))*1000</f>
        <v>8.2193256490358717</v>
      </c>
      <c r="R54" s="425">
        <f>(D54/'Population Figures'!K14)*1000</f>
        <v>2.9217357984481271</v>
      </c>
      <c r="S54" s="425">
        <f>(E54/'Population Figures'!K14)*1000</f>
        <v>483.37963406456555</v>
      </c>
      <c r="T54" s="280">
        <f>(F54/'Population Figures'!M14)*1000</f>
        <v>1528.0072904009721</v>
      </c>
      <c r="U54" s="425">
        <f>(G54/'Population Figures'!L14)*1000</f>
        <v>72.226627261587254</v>
      </c>
      <c r="V54" s="425">
        <f>(H54/'Population Figures'!L14)*1000</f>
        <v>227.78058098464643</v>
      </c>
      <c r="W54" s="425">
        <f>(I54/'Population Figures'!L14)*1000</f>
        <v>34.959994233403016</v>
      </c>
      <c r="X54" s="500">
        <f>(J54/'Population Figures'!L14)*1000</f>
        <v>13.623585381676639</v>
      </c>
      <c r="Y54" s="186">
        <f>(K54/'Population Figures'!L14)*1000</f>
        <v>0</v>
      </c>
      <c r="Z54" s="186">
        <f>(L54/'Population Figures'!L14)*1000</f>
        <v>0</v>
      </c>
      <c r="AA54" s="501">
        <f>(M54/'Population Figures'!L14)*1000</f>
        <v>13.299214301160527</v>
      </c>
    </row>
    <row r="55" spans="1:27">
      <c r="A55" s="7" t="s">
        <v>41</v>
      </c>
      <c r="B55" s="425">
        <v>39702</v>
      </c>
      <c r="C55" s="280">
        <v>1304</v>
      </c>
      <c r="D55" s="425">
        <v>0</v>
      </c>
      <c r="E55" s="425">
        <v>5017</v>
      </c>
      <c r="F55" s="280">
        <v>15961</v>
      </c>
      <c r="G55" s="425">
        <v>6859</v>
      </c>
      <c r="H55" s="425">
        <v>7187</v>
      </c>
      <c r="I55" s="425">
        <v>855</v>
      </c>
      <c r="J55" s="425">
        <v>1238</v>
      </c>
      <c r="K55" s="280">
        <v>0</v>
      </c>
      <c r="L55" s="280">
        <v>8</v>
      </c>
      <c r="M55" s="280">
        <v>1273</v>
      </c>
      <c r="N55" s="233"/>
      <c r="O55" s="7" t="s">
        <v>41</v>
      </c>
      <c r="P55" s="425">
        <f>(B55*1000)/SUM('Population Figures'!$K15:$M15)</f>
        <v>444.64105722925302</v>
      </c>
      <c r="Q55" s="280">
        <f>(C55/SUM('Population Figures'!K15:M15))*1000</f>
        <v>14.604099003247844</v>
      </c>
      <c r="R55" s="425">
        <f>(D55/'Population Figures'!K15)*1000</f>
        <v>0</v>
      </c>
      <c r="S55" s="425">
        <f>(E55/'Population Figures'!K15)*1000</f>
        <v>240.48509251270252</v>
      </c>
      <c r="T55" s="280">
        <f>(F55/'Population Figures'!M15)*1000</f>
        <v>1046.828884370696</v>
      </c>
      <c r="U55" s="425">
        <f>(G55/'Population Figures'!L15)*1000</f>
        <v>128.97463379778492</v>
      </c>
      <c r="V55" s="425">
        <f>(H55/'Population Figures'!L15)*1000</f>
        <v>135.14225005171022</v>
      </c>
      <c r="W55" s="425">
        <f>(I55/'Population Figures'!L15)*1000</f>
        <v>16.077170418006428</v>
      </c>
      <c r="X55" s="500">
        <f>(J55/'Population Figures'!L15)*1000</f>
        <v>23.27899061694966</v>
      </c>
      <c r="Y55" s="186">
        <f>(K55/'Population Figures'!L15)*1000</f>
        <v>0</v>
      </c>
      <c r="Z55" s="186">
        <f>(L55/'Population Figures'!L15)*1000</f>
        <v>0.15042966472988473</v>
      </c>
      <c r="AA55" s="501">
        <f>(M55/'Population Figures'!L15)*1000</f>
        <v>23.937120400142909</v>
      </c>
    </row>
    <row r="56" spans="1:27">
      <c r="A56" s="7" t="s">
        <v>140</v>
      </c>
      <c r="B56" s="425">
        <v>280777</v>
      </c>
      <c r="C56" s="280">
        <v>1564</v>
      </c>
      <c r="D56" s="425">
        <v>185</v>
      </c>
      <c r="E56" s="425">
        <v>68912</v>
      </c>
      <c r="F56" s="280">
        <v>121228</v>
      </c>
      <c r="G56" s="425">
        <v>18886</v>
      </c>
      <c r="H56" s="425">
        <v>39193</v>
      </c>
      <c r="I56" s="425">
        <v>11648</v>
      </c>
      <c r="J56" s="425">
        <v>4105</v>
      </c>
      <c r="K56" s="280">
        <v>1820</v>
      </c>
      <c r="L56" s="280">
        <v>221</v>
      </c>
      <c r="M56" s="280">
        <v>13015</v>
      </c>
      <c r="N56" s="233"/>
      <c r="O56" s="7" t="s">
        <v>140</v>
      </c>
      <c r="P56" s="425">
        <f>(B56*1000)/SUM('Population Figures'!$K16:$M16)</f>
        <v>605.76255096977411</v>
      </c>
      <c r="Q56" s="280">
        <f>(C56/SUM('Population Figures'!K16:M16))*1000</f>
        <v>3.3742529826756704</v>
      </c>
      <c r="R56" s="425">
        <f>(D56/'Population Figures'!K16)*1000</f>
        <v>2.3087770969311983</v>
      </c>
      <c r="S56" s="425">
        <f>(E56/'Population Figures'!K16)*1000</f>
        <v>860.0132286687716</v>
      </c>
      <c r="T56" s="280">
        <f>(F56/'Population Figures'!M16)*1000</f>
        <v>1772.3650930569161</v>
      </c>
      <c r="U56" s="425">
        <f>(G56/'Population Figures'!L16)*1000</f>
        <v>59.958981783086017</v>
      </c>
      <c r="V56" s="425">
        <f>(H56/'Population Figures'!L16)*1000</f>
        <v>124.42933246979193</v>
      </c>
      <c r="W56" s="425">
        <f>(I56/'Population Figures'!L16)*1000</f>
        <v>36.979890914401459</v>
      </c>
      <c r="X56" s="500">
        <f>(J56/'Population Figures'!L16)*1000</f>
        <v>13.032490745502917</v>
      </c>
      <c r="Y56" s="186">
        <f>(K56/'Population Figures'!L16)*1000</f>
        <v>5.7781079553752281</v>
      </c>
      <c r="Z56" s="186">
        <f>(L56/'Population Figures'!L16)*1000</f>
        <v>0.70162739458127765</v>
      </c>
      <c r="AA56" s="501">
        <f>(M56/'Population Figures'!L16)*1000</f>
        <v>41.31982145011461</v>
      </c>
    </row>
    <row r="57" spans="1:27">
      <c r="A57" s="7" t="s">
        <v>42</v>
      </c>
      <c r="B57" s="425">
        <v>20600</v>
      </c>
      <c r="C57" s="280">
        <v>403</v>
      </c>
      <c r="D57" s="425">
        <v>44</v>
      </c>
      <c r="E57" s="425">
        <v>2383</v>
      </c>
      <c r="F57" s="280">
        <v>12840</v>
      </c>
      <c r="G57" s="425">
        <v>954</v>
      </c>
      <c r="H57" s="425">
        <v>2697</v>
      </c>
      <c r="I57" s="425">
        <v>897</v>
      </c>
      <c r="J57" s="425">
        <v>61</v>
      </c>
      <c r="K57" s="280">
        <v>0</v>
      </c>
      <c r="L57" s="280">
        <v>0</v>
      </c>
      <c r="M57" s="280">
        <v>321</v>
      </c>
      <c r="N57" s="233"/>
      <c r="O57" s="7" t="s">
        <v>42</v>
      </c>
      <c r="P57" s="425">
        <f>(B57*1000)/SUM('Population Figures'!$K17:$M17)</f>
        <v>781.78368121442122</v>
      </c>
      <c r="Q57" s="280">
        <f>(C57/SUM('Population Figures'!K17:M17))*1000</f>
        <v>15.294117647058824</v>
      </c>
      <c r="R57" s="425">
        <f>(D57/'Population Figures'!K17)*1000</f>
        <v>8.2104870311625291</v>
      </c>
      <c r="S57" s="425">
        <f>(E57/'Population Figures'!K17)*1000</f>
        <v>444.67251352864338</v>
      </c>
      <c r="T57" s="280">
        <f>(F57/'Population Figures'!M17)*1000</f>
        <v>2373.3826247689462</v>
      </c>
      <c r="U57" s="425">
        <f>(G57/'Population Figures'!L17)*1000</f>
        <v>61.228419228547587</v>
      </c>
      <c r="V57" s="425">
        <f>(H57/'Population Figures'!L17)*1000</f>
        <v>173.09543674988768</v>
      </c>
      <c r="W57" s="425">
        <f>(I57/'Population Figures'!L17)*1000</f>
        <v>57.570117450741286</v>
      </c>
      <c r="X57" s="500">
        <f>(J57/'Population Figures'!L17)*1000</f>
        <v>3.9150247095821835</v>
      </c>
      <c r="Y57" s="186">
        <f>(K57/'Population Figures'!L17)*1000</f>
        <v>0</v>
      </c>
      <c r="Z57" s="186">
        <f>(L57/'Population Figures'!L17)*1000</f>
        <v>0</v>
      </c>
      <c r="AA57" s="501">
        <f>(M57/'Population Figures'!L17)*1000</f>
        <v>20.602015275014441</v>
      </c>
    </row>
    <row r="58" spans="1:27">
      <c r="A58" s="7" t="s">
        <v>43</v>
      </c>
      <c r="B58" s="425">
        <v>81362</v>
      </c>
      <c r="C58" s="280">
        <v>168</v>
      </c>
      <c r="D58" s="425">
        <v>59</v>
      </c>
      <c r="E58" s="425">
        <v>21000</v>
      </c>
      <c r="F58" s="280">
        <v>37223</v>
      </c>
      <c r="G58" s="425">
        <v>5913</v>
      </c>
      <c r="H58" s="425">
        <v>11383</v>
      </c>
      <c r="I58" s="425">
        <v>3103</v>
      </c>
      <c r="J58" s="425">
        <v>243</v>
      </c>
      <c r="K58" s="280">
        <v>1</v>
      </c>
      <c r="L58" s="280">
        <v>0</v>
      </c>
      <c r="M58" s="280">
        <v>2269</v>
      </c>
      <c r="N58" s="233"/>
      <c r="O58" s="7" t="s">
        <v>43</v>
      </c>
      <c r="P58" s="425">
        <f>(B58*1000)/SUM('Population Figures'!$K18:$M18)</f>
        <v>543.57295563869593</v>
      </c>
      <c r="Q58" s="280">
        <f>(C58/SUM('Population Figures'!K18:M18))*1000</f>
        <v>1.122394441475147</v>
      </c>
      <c r="R58" s="425">
        <f>(D58/'Population Figures'!K18)*1000</f>
        <v>1.847502739940504</v>
      </c>
      <c r="S58" s="425">
        <f>(E58/'Population Figures'!K18)*1000</f>
        <v>657.58572099577259</v>
      </c>
      <c r="T58" s="280">
        <f>(F58/'Population Figures'!M18)*1000</f>
        <v>1576.1104289283144</v>
      </c>
      <c r="U58" s="425">
        <f>(G58/'Population Figures'!L18)*1000</f>
        <v>62.818714941356447</v>
      </c>
      <c r="V58" s="425">
        <f>(H58/'Population Figures'!L18)*1000</f>
        <v>120.93107258201597</v>
      </c>
      <c r="W58" s="425">
        <f>(I58/'Population Figures'!L18)*1000</f>
        <v>32.96574876763556</v>
      </c>
      <c r="X58" s="500">
        <f>(J58/'Population Figures'!L18)*1000</f>
        <v>2.5815910249872513</v>
      </c>
      <c r="Y58" s="186">
        <f>(K58/'Population Figures'!L18)*1000</f>
        <v>1.062383137854836E-2</v>
      </c>
      <c r="Z58" s="186">
        <f>(L58/'Population Figures'!L18)*1000</f>
        <v>0</v>
      </c>
      <c r="AA58" s="501">
        <f>(M58/'Population Figures'!L18)*1000</f>
        <v>24.105473397926229</v>
      </c>
    </row>
    <row r="59" spans="1:27">
      <c r="A59" s="7" t="s">
        <v>44</v>
      </c>
      <c r="B59" s="425">
        <v>188030</v>
      </c>
      <c r="C59" s="280">
        <v>1443</v>
      </c>
      <c r="D59" s="425">
        <v>211</v>
      </c>
      <c r="E59" s="425">
        <v>34454</v>
      </c>
      <c r="F59" s="280">
        <v>86838</v>
      </c>
      <c r="G59" s="425">
        <v>17695</v>
      </c>
      <c r="H59" s="425">
        <v>33637</v>
      </c>
      <c r="I59" s="425">
        <v>6740</v>
      </c>
      <c r="J59" s="425">
        <v>852</v>
      </c>
      <c r="K59" s="280">
        <v>99</v>
      </c>
      <c r="L59" s="280">
        <v>0</v>
      </c>
      <c r="M59" s="280">
        <v>6061</v>
      </c>
      <c r="N59" s="233"/>
      <c r="O59" s="7" t="s">
        <v>44</v>
      </c>
      <c r="P59" s="425">
        <f>(B59*1000)/SUM('Population Figures'!$K19:$M19)</f>
        <v>523.86259159167525</v>
      </c>
      <c r="Q59" s="280">
        <f>(C59/SUM('Population Figures'!K19:M19))*1000</f>
        <v>4.0202825063382832</v>
      </c>
      <c r="R59" s="425">
        <f>(D59/'Population Figures'!K19)*1000</f>
        <v>2.8209687554313678</v>
      </c>
      <c r="S59" s="425">
        <f>(E59/'Population Figures'!K19)*1000</f>
        <v>460.63344786555609</v>
      </c>
      <c r="T59" s="280">
        <f>(F59/'Population Figures'!M19)*1000</f>
        <v>1451.1697860962568</v>
      </c>
      <c r="U59" s="425">
        <f>(G59/'Population Figures'!L19)*1000</f>
        <v>78.892341713740521</v>
      </c>
      <c r="V59" s="425">
        <f>(H59/'Population Figures'!L19)*1000</f>
        <v>149.96901374541335</v>
      </c>
      <c r="W59" s="425">
        <f>(I59/'Population Figures'!L19)*1000</f>
        <v>30.049979268189379</v>
      </c>
      <c r="X59" s="500">
        <f>(J59/'Population Figures'!L19)*1000</f>
        <v>3.7986027205485682</v>
      </c>
      <c r="Y59" s="186">
        <f>(K59/'Population Figures'!L19)*1000</f>
        <v>0.44138693583838995</v>
      </c>
      <c r="Z59" s="186">
        <f>(L59/'Population Figures'!L19)*1000</f>
        <v>0</v>
      </c>
      <c r="AA59" s="501">
        <f>(M59/'Population Figures'!L19)*1000</f>
        <v>27.022689071883651</v>
      </c>
    </row>
    <row r="60" spans="1:27">
      <c r="A60" s="7" t="s">
        <v>45</v>
      </c>
      <c r="B60" s="425">
        <v>469988</v>
      </c>
      <c r="C60" s="280">
        <v>2164</v>
      </c>
      <c r="D60" s="425">
        <v>351</v>
      </c>
      <c r="E60" s="425">
        <v>117545</v>
      </c>
      <c r="F60" s="280">
        <v>183017</v>
      </c>
      <c r="G60" s="425">
        <v>41845</v>
      </c>
      <c r="H60" s="425">
        <v>67274</v>
      </c>
      <c r="I60" s="425">
        <v>23399</v>
      </c>
      <c r="J60" s="425">
        <v>14044</v>
      </c>
      <c r="K60" s="280">
        <v>46</v>
      </c>
      <c r="L60" s="280">
        <v>1929</v>
      </c>
      <c r="M60" s="280">
        <v>18374</v>
      </c>
      <c r="N60" s="233"/>
      <c r="O60" s="7" t="s">
        <v>45</v>
      </c>
      <c r="P60" s="425">
        <f>(B60*1000)/SUM('Population Figures'!$K20:$M20)</f>
        <v>809.36127710137941</v>
      </c>
      <c r="Q60" s="280">
        <f>(C60/SUM('Population Figures'!K20:M20))*1000</f>
        <v>3.7266011124696483</v>
      </c>
      <c r="R60" s="425">
        <f>(D60/'Population Figures'!K20)*1000</f>
        <v>3.1552830765358406</v>
      </c>
      <c r="S60" s="425">
        <f>(E60/'Population Figures'!K20)*1000</f>
        <v>1056.660254220528</v>
      </c>
      <c r="T60" s="280">
        <f>(F60/'Population Figures'!M20)*1000</f>
        <v>2166.6765322189208</v>
      </c>
      <c r="U60" s="425">
        <f>(G60/'Population Figures'!L20)*1000</f>
        <v>108.69424046506433</v>
      </c>
      <c r="V60" s="425">
        <f>(H60/'Population Figures'!L20)*1000</f>
        <v>174.74719400278977</v>
      </c>
      <c r="W60" s="425">
        <f>(I60/'Population Figures'!L20)*1000</f>
        <v>60.779938646004069</v>
      </c>
      <c r="X60" s="500">
        <f>(J60/'Population Figures'!L20)*1000</f>
        <v>36.479911891297967</v>
      </c>
      <c r="Y60" s="186">
        <f>(K60/'Population Figures'!L20)*1000</f>
        <v>0.11948703695526249</v>
      </c>
      <c r="Z60" s="186">
        <f>(L60/'Population Figures'!L20)*1000</f>
        <v>5.0106629192761165</v>
      </c>
      <c r="AA60" s="501">
        <f>(M60/'Population Figures'!L20)*1000</f>
        <v>47.727278630782457</v>
      </c>
    </row>
    <row r="61" spans="1:27">
      <c r="A61" s="7" t="s">
        <v>46</v>
      </c>
      <c r="B61" s="425">
        <v>111557</v>
      </c>
      <c r="C61" s="280">
        <v>399</v>
      </c>
      <c r="D61" s="425">
        <v>115</v>
      </c>
      <c r="E61" s="425">
        <v>19335</v>
      </c>
      <c r="F61" s="280">
        <v>62847</v>
      </c>
      <c r="G61" s="425">
        <v>5278</v>
      </c>
      <c r="H61" s="425">
        <v>14469</v>
      </c>
      <c r="I61" s="425">
        <v>6317</v>
      </c>
      <c r="J61" s="425">
        <v>737</v>
      </c>
      <c r="K61" s="280">
        <v>0</v>
      </c>
      <c r="L61" s="280">
        <v>0</v>
      </c>
      <c r="M61" s="280">
        <v>2060</v>
      </c>
      <c r="N61" s="233"/>
      <c r="O61" s="7" t="s">
        <v>46</v>
      </c>
      <c r="P61" s="425">
        <f>(B61*1000)/SUM('Population Figures'!$K21:$M21)</f>
        <v>518.12270679485391</v>
      </c>
      <c r="Q61" s="280">
        <f>(C61/SUM('Population Figures'!K21:M21))*1000</f>
        <v>1.8531419813292462</v>
      </c>
      <c r="R61" s="425">
        <f>(D61/'Population Figures'!K21)*1000</f>
        <v>2.5675373967403434</v>
      </c>
      <c r="S61" s="425">
        <f>(E61/'Population Figures'!K21)*1000</f>
        <v>431.68117883456131</v>
      </c>
      <c r="T61" s="280">
        <f>(F61/'Population Figures'!M21)*1000</f>
        <v>1652.2596419275967</v>
      </c>
      <c r="U61" s="425">
        <f>(G61/'Population Figures'!L21)*1000</f>
        <v>39.839073692473754</v>
      </c>
      <c r="V61" s="425">
        <f>(H61/'Population Figures'!L21)*1000</f>
        <v>109.21401236385046</v>
      </c>
      <c r="W61" s="425">
        <f>(I61/'Population Figures'!L21)*1000</f>
        <v>47.681589335990282</v>
      </c>
      <c r="X61" s="500">
        <f>(J61/'Population Figures'!L21)*1000</f>
        <v>5.5629778915030608</v>
      </c>
      <c r="Y61" s="186">
        <f>(K61/'Population Figures'!L21)*1000</f>
        <v>0</v>
      </c>
      <c r="Z61" s="186">
        <f>(L61/'Population Figures'!L21)*1000</f>
        <v>0</v>
      </c>
      <c r="AA61" s="501">
        <f>(M61/'Population Figures'!L21)*1000</f>
        <v>15.549164798502449</v>
      </c>
    </row>
    <row r="62" spans="1:27">
      <c r="A62" s="7" t="s">
        <v>47</v>
      </c>
      <c r="B62" s="425">
        <v>50709</v>
      </c>
      <c r="C62" s="280">
        <v>1024</v>
      </c>
      <c r="D62" s="425">
        <v>24</v>
      </c>
      <c r="E62" s="425">
        <v>11825</v>
      </c>
      <c r="F62" s="280">
        <v>22828</v>
      </c>
      <c r="G62" s="425">
        <v>2633</v>
      </c>
      <c r="H62" s="425">
        <v>7254</v>
      </c>
      <c r="I62" s="425">
        <v>2414</v>
      </c>
      <c r="J62" s="425">
        <v>776</v>
      </c>
      <c r="K62" s="280">
        <v>0</v>
      </c>
      <c r="L62" s="280">
        <v>0</v>
      </c>
      <c r="M62" s="280">
        <v>1931</v>
      </c>
      <c r="N62" s="233"/>
      <c r="O62" s="7" t="s">
        <v>47</v>
      </c>
      <c r="P62" s="425">
        <f>(B62*1000)/SUM('Population Figures'!$K22:$M22)</f>
        <v>621.89109639440767</v>
      </c>
      <c r="Q62" s="280">
        <f>(C62/SUM('Population Figures'!K22:M22))*1000</f>
        <v>12.558253617856266</v>
      </c>
      <c r="R62" s="425">
        <f>(D62/'Population Figures'!K22)*1000</f>
        <v>1.4228124258951862</v>
      </c>
      <c r="S62" s="425">
        <f>(E62/'Population Figures'!K22)*1000</f>
        <v>701.03153900877396</v>
      </c>
      <c r="T62" s="280">
        <f>(F62/'Population Figures'!M22)*1000</f>
        <v>1619.3516350996665</v>
      </c>
      <c r="U62" s="425">
        <f>(G62/'Population Figures'!L22)*1000</f>
        <v>52.061295106277804</v>
      </c>
      <c r="V62" s="425">
        <f>(H62/'Population Figures'!L22)*1000</f>
        <v>143.43054869006428</v>
      </c>
      <c r="W62" s="425">
        <f>(I62/'Population Figures'!L22)*1000</f>
        <v>47.731092436974791</v>
      </c>
      <c r="X62" s="500">
        <f>(J62/'Population Figures'!L22)*1000</f>
        <v>15.343549184379635</v>
      </c>
      <c r="Y62" s="186">
        <f>(K62/'Population Figures'!L22)*1000</f>
        <v>0</v>
      </c>
      <c r="Z62" s="186">
        <f>(L62/'Population Figures'!L22)*1000</f>
        <v>0</v>
      </c>
      <c r="AA62" s="501">
        <f>(M62/'Population Figures'!L22)*1000</f>
        <v>38.180919426594173</v>
      </c>
    </row>
    <row r="63" spans="1:27">
      <c r="A63" s="7" t="s">
        <v>48</v>
      </c>
      <c r="B63" s="425">
        <v>45608</v>
      </c>
      <c r="C63" s="280">
        <v>716</v>
      </c>
      <c r="D63" s="425">
        <v>63</v>
      </c>
      <c r="E63" s="425">
        <v>10828</v>
      </c>
      <c r="F63" s="280">
        <v>19215</v>
      </c>
      <c r="G63" s="425">
        <v>2734</v>
      </c>
      <c r="H63" s="425">
        <v>9172</v>
      </c>
      <c r="I63" s="425">
        <v>1570</v>
      </c>
      <c r="J63" s="425">
        <v>529</v>
      </c>
      <c r="K63" s="280">
        <v>2</v>
      </c>
      <c r="L63" s="280">
        <v>3</v>
      </c>
      <c r="M63" s="280">
        <v>776</v>
      </c>
      <c r="N63" s="233"/>
      <c r="O63" s="7" t="s">
        <v>48</v>
      </c>
      <c r="P63" s="425">
        <f>(B63*1000)/SUM('Population Figures'!$K23:$M23)</f>
        <v>575.20494387690758</v>
      </c>
      <c r="Q63" s="280">
        <f>(C63/SUM('Population Figures'!K23:M23))*1000</f>
        <v>9.0301425148190191</v>
      </c>
      <c r="R63" s="425">
        <f>(D63/'Population Figures'!K23)*1000</f>
        <v>3.5543018335684065</v>
      </c>
      <c r="S63" s="425">
        <f>(E63/'Population Figures'!K23)*1000</f>
        <v>610.8885754583921</v>
      </c>
      <c r="T63" s="280">
        <f>(F63/'Population Figures'!M23)*1000</f>
        <v>1520.1740506329113</v>
      </c>
      <c r="U63" s="425">
        <f>(G63/'Population Figures'!L23)*1000</f>
        <v>55.88145120081758</v>
      </c>
      <c r="V63" s="425">
        <f>(H63/'Population Figures'!L23)*1000</f>
        <v>187.47061829330607</v>
      </c>
      <c r="W63" s="425">
        <f>(I63/'Population Figures'!L23)*1000</f>
        <v>32.089933571793566</v>
      </c>
      <c r="X63" s="500">
        <f>(J63/'Population Figures'!L23)*1000</f>
        <v>10.81246806336229</v>
      </c>
      <c r="Y63" s="186">
        <f>(K63/'Population Figures'!L23)*1000</f>
        <v>4.0878896269800714E-2</v>
      </c>
      <c r="Z63" s="186">
        <f>(L63/'Population Figures'!L23)*1000</f>
        <v>6.1318344404701075E-2</v>
      </c>
      <c r="AA63" s="501">
        <f>(M63/'Population Figures'!L23)*1000</f>
        <v>15.861011752682678</v>
      </c>
    </row>
    <row r="64" spans="1:27">
      <c r="A64" s="7" t="s">
        <v>49</v>
      </c>
      <c r="B64" s="425">
        <v>42479</v>
      </c>
      <c r="C64" s="280">
        <v>99</v>
      </c>
      <c r="D64" s="425">
        <v>61</v>
      </c>
      <c r="E64" s="425">
        <v>9559</v>
      </c>
      <c r="F64" s="280">
        <v>19265</v>
      </c>
      <c r="G64" s="425">
        <v>3019</v>
      </c>
      <c r="H64" s="425">
        <v>7526</v>
      </c>
      <c r="I64" s="425">
        <v>2149</v>
      </c>
      <c r="J64" s="425">
        <v>265</v>
      </c>
      <c r="K64" s="280">
        <v>0</v>
      </c>
      <c r="L64" s="280">
        <v>0</v>
      </c>
      <c r="M64" s="280">
        <v>536</v>
      </c>
      <c r="N64" s="233"/>
      <c r="O64" s="7" t="s">
        <v>49</v>
      </c>
      <c r="P64" s="425">
        <f>(B64*1000)/SUM('Population Figures'!$K24:$M24)</f>
        <v>489.671469740634</v>
      </c>
      <c r="Q64" s="280">
        <f>(C64/SUM('Population Figures'!K24:M24))*1000</f>
        <v>1.1412103746397695</v>
      </c>
      <c r="R64" s="425">
        <f>(D64/'Population Figures'!K24)*1000</f>
        <v>3.3226210577918187</v>
      </c>
      <c r="S64" s="425">
        <f>(E64/'Population Figures'!K24)*1000</f>
        <v>520.67106051527855</v>
      </c>
      <c r="T64" s="280">
        <f>(F64/'Population Figures'!M24)*1000</f>
        <v>1262.1200209643605</v>
      </c>
      <c r="U64" s="425">
        <f>(G64/'Population Figures'!L24)*1000</f>
        <v>56.826095958740382</v>
      </c>
      <c r="V64" s="425">
        <f>(H64/'Population Figures'!L24)*1000</f>
        <v>141.66054924991059</v>
      </c>
      <c r="W64" s="425">
        <f>(I64/'Population Figures'!L24)*1000</f>
        <v>40.450241873247123</v>
      </c>
      <c r="X64" s="500">
        <f>(J64/'Population Figures'!L24)*1000</f>
        <v>4.988047508799669</v>
      </c>
      <c r="Y64" s="186">
        <f>(K64/'Population Figures'!L24)*1000</f>
        <v>0</v>
      </c>
      <c r="Z64" s="186">
        <f>(L64/'Population Figures'!L24)*1000</f>
        <v>0</v>
      </c>
      <c r="AA64" s="501">
        <f>(M64/'Population Figures'!L24)*1000</f>
        <v>10.089031942326876</v>
      </c>
    </row>
    <row r="65" spans="1:27">
      <c r="A65" s="7" t="s">
        <v>50</v>
      </c>
      <c r="B65" s="425">
        <v>74253</v>
      </c>
      <c r="C65" s="280">
        <v>792</v>
      </c>
      <c r="D65" s="425">
        <v>237</v>
      </c>
      <c r="E65" s="425">
        <v>17953</v>
      </c>
      <c r="F65" s="280">
        <v>36895</v>
      </c>
      <c r="G65" s="425">
        <v>2444</v>
      </c>
      <c r="H65" s="425">
        <v>10088</v>
      </c>
      <c r="I65" s="425">
        <v>2309</v>
      </c>
      <c r="J65" s="425">
        <v>1344</v>
      </c>
      <c r="K65" s="280">
        <v>0</v>
      </c>
      <c r="L65" s="280">
        <v>0</v>
      </c>
      <c r="M65" s="280">
        <v>2191</v>
      </c>
      <c r="N65" s="233"/>
      <c r="O65" s="7" t="s">
        <v>50</v>
      </c>
      <c r="P65" s="425">
        <f>(B65*1000)/SUM('Population Figures'!$K25:$M25)</f>
        <v>548.03306517086128</v>
      </c>
      <c r="Q65" s="280">
        <f>(C65/SUM('Population Figures'!K25:M25))*1000</f>
        <v>5.8454498486973208</v>
      </c>
      <c r="R65" s="425">
        <f>(D65/'Population Figures'!K25)*1000</f>
        <v>8.1970048075260262</v>
      </c>
      <c r="S65" s="425">
        <f>(E65/'Population Figures'!K25)*1000</f>
        <v>620.9317607996403</v>
      </c>
      <c r="T65" s="280">
        <f>(F65/'Population Figures'!M25)*1000</f>
        <v>1561.8914571162477</v>
      </c>
      <c r="U65" s="425">
        <f>(G65/'Population Figures'!L25)*1000</f>
        <v>29.461756373937678</v>
      </c>
      <c r="V65" s="425">
        <f>(H65/'Population Figures'!L25)*1000</f>
        <v>121.60810077752998</v>
      </c>
      <c r="W65" s="425">
        <f>(I65/'Population Figures'!L25)*1000</f>
        <v>27.834368030860105</v>
      </c>
      <c r="X65" s="500">
        <f>(J65/'Population Figures'!L25)*1000</f>
        <v>16.201555059972272</v>
      </c>
      <c r="Y65" s="186">
        <f>(K65/'Population Figures'!L25)*1000</f>
        <v>0</v>
      </c>
      <c r="Z65" s="186">
        <f>(L65/'Population Figures'!L25)*1000</f>
        <v>0</v>
      </c>
      <c r="AA65" s="501">
        <f>(M65/'Population Figures'!L25)*1000</f>
        <v>26.411910071725636</v>
      </c>
    </row>
    <row r="66" spans="1:27">
      <c r="A66" s="7" t="s">
        <v>51</v>
      </c>
      <c r="B66" s="425">
        <v>178224</v>
      </c>
      <c r="C66" s="280">
        <v>734</v>
      </c>
      <c r="D66" s="425">
        <v>66</v>
      </c>
      <c r="E66" s="425">
        <v>26671</v>
      </c>
      <c r="F66" s="280">
        <v>83599</v>
      </c>
      <c r="G66" s="425">
        <v>5385</v>
      </c>
      <c r="H66" s="425">
        <v>40143</v>
      </c>
      <c r="I66" s="425">
        <v>6925</v>
      </c>
      <c r="J66" s="425">
        <v>2405</v>
      </c>
      <c r="K66" s="280">
        <v>0</v>
      </c>
      <c r="L66" s="280">
        <v>18</v>
      </c>
      <c r="M66" s="280">
        <v>12278</v>
      </c>
      <c r="N66" s="233"/>
      <c r="O66" s="7" t="s">
        <v>51</v>
      </c>
      <c r="P66" s="425">
        <f>(B66*1000)/SUM('Population Figures'!$K26:$M26)</f>
        <v>550.44783494965714</v>
      </c>
      <c r="Q66" s="280">
        <f>(C66/SUM('Population Figures'!K26:M26))*1000</f>
        <v>2.2669714003335599</v>
      </c>
      <c r="R66" s="425">
        <f>(D66/'Population Figures'!K26)*1000</f>
        <v>0.91667939832497669</v>
      </c>
      <c r="S66" s="425">
        <f>(E66/'Population Figures'!K26)*1000</f>
        <v>370.43570049584025</v>
      </c>
      <c r="T66" s="280">
        <f>(F66/'Population Figures'!M26)*1000</f>
        <v>1771.8785104173289</v>
      </c>
      <c r="U66" s="425">
        <f>(G66/'Population Figures'!L26)*1000</f>
        <v>26.319648093841643</v>
      </c>
      <c r="V66" s="425">
        <f>(H66/'Population Figures'!L26)*1000</f>
        <v>196.2023460410557</v>
      </c>
      <c r="W66" s="425">
        <f>(I66/'Population Figures'!L26)*1000</f>
        <v>33.846529814271747</v>
      </c>
      <c r="X66" s="500">
        <f>(J66/'Population Figures'!L26)*1000</f>
        <v>11.754643206256111</v>
      </c>
      <c r="Y66" s="186">
        <f>(K66/'Population Figures'!L26)*1000</f>
        <v>0</v>
      </c>
      <c r="Z66" s="186">
        <f>(L66/'Population Figures'!L26)*1000</f>
        <v>8.797653958944282E-2</v>
      </c>
      <c r="AA66" s="501">
        <f>(M66/'Population Figures'!L26)*1000</f>
        <v>60.009775171065499</v>
      </c>
    </row>
    <row r="67" spans="1:27">
      <c r="A67" s="7" t="s">
        <v>52</v>
      </c>
      <c r="B67" s="425">
        <v>16644</v>
      </c>
      <c r="C67" s="280">
        <v>775</v>
      </c>
      <c r="D67" s="425">
        <v>65</v>
      </c>
      <c r="E67" s="425">
        <v>2851</v>
      </c>
      <c r="F67" s="280">
        <v>9274</v>
      </c>
      <c r="G67" s="425">
        <v>940</v>
      </c>
      <c r="H67" s="425">
        <v>1701</v>
      </c>
      <c r="I67" s="425">
        <v>599</v>
      </c>
      <c r="J67" s="425">
        <v>62</v>
      </c>
      <c r="K67" s="280">
        <v>0</v>
      </c>
      <c r="L67" s="280">
        <v>0</v>
      </c>
      <c r="M67" s="280">
        <v>377</v>
      </c>
      <c r="N67" s="233"/>
      <c r="O67" s="7" t="s">
        <v>52</v>
      </c>
      <c r="P67" s="425">
        <f>(B67*1000)/SUM('Population Figures'!$K27:$M27)</f>
        <v>841.88163884673747</v>
      </c>
      <c r="Q67" s="280">
        <f>(C67/SUM('Population Figures'!K27:M27))*1000</f>
        <v>39.200809307030852</v>
      </c>
      <c r="R67" s="425">
        <f>(D67/'Population Figures'!K27)*1000</f>
        <v>15.704276395264557</v>
      </c>
      <c r="S67" s="425">
        <f>(E67/'Population Figures'!K27)*1000</f>
        <v>688.81372312152689</v>
      </c>
      <c r="T67" s="280">
        <f>(F67/'Population Figures'!M27)*1000</f>
        <v>2589.0563930764934</v>
      </c>
      <c r="U67" s="425">
        <f>(G67/'Population Figures'!L27)*1000</f>
        <v>78.014773010208316</v>
      </c>
      <c r="V67" s="425">
        <f>(H67/'Population Figures'!L27)*1000</f>
        <v>141.17354137272804</v>
      </c>
      <c r="W67" s="425">
        <f>(I67/'Population Figures'!L27)*1000</f>
        <v>49.713669184164658</v>
      </c>
      <c r="X67" s="500">
        <f>(J67/'Population Figures'!L27)*1000</f>
        <v>5.1456552410988463</v>
      </c>
      <c r="Y67" s="186">
        <f>(K67/'Population Figures'!L27)*1000</f>
        <v>0</v>
      </c>
      <c r="Z67" s="186">
        <f>(L67/'Population Figures'!L27)*1000</f>
        <v>0</v>
      </c>
      <c r="AA67" s="501">
        <f>(M67/'Population Figures'!L27)*1000</f>
        <v>31.288903643455885</v>
      </c>
    </row>
    <row r="68" spans="1:27">
      <c r="A68" s="7" t="s">
        <v>53</v>
      </c>
      <c r="B68" s="425">
        <v>69352</v>
      </c>
      <c r="C68" s="280">
        <v>521</v>
      </c>
      <c r="D68" s="425">
        <v>0</v>
      </c>
      <c r="E68" s="425">
        <v>12233</v>
      </c>
      <c r="F68" s="280">
        <v>36862</v>
      </c>
      <c r="G68" s="425">
        <v>1966</v>
      </c>
      <c r="H68" s="425">
        <v>11340</v>
      </c>
      <c r="I68" s="425">
        <v>3849</v>
      </c>
      <c r="J68" s="425">
        <v>753</v>
      </c>
      <c r="K68" s="280">
        <v>0</v>
      </c>
      <c r="L68" s="280">
        <v>0</v>
      </c>
      <c r="M68" s="280">
        <v>1828</v>
      </c>
      <c r="N68" s="233"/>
      <c r="O68" s="7" t="s">
        <v>53</v>
      </c>
      <c r="P68" s="425">
        <f>(B68*1000)/SUM('Population Figures'!$K28:$M28)</f>
        <v>494.70004993223483</v>
      </c>
      <c r="Q68" s="280">
        <f>(C68/SUM('Population Figures'!K28:M28))*1000</f>
        <v>3.7163849061987304</v>
      </c>
      <c r="R68" s="425">
        <f>(D68/'Population Figures'!K28)*1000</f>
        <v>0</v>
      </c>
      <c r="S68" s="425">
        <f>(E68/'Population Figures'!K28)*1000</f>
        <v>430.04288827954724</v>
      </c>
      <c r="T68" s="280">
        <f>(F68/'Population Figures'!M28)*1000</f>
        <v>1365.0570285883573</v>
      </c>
      <c r="U68" s="425">
        <f>(G68/'Population Figures'!L28)*1000</f>
        <v>23.200377625678545</v>
      </c>
      <c r="V68" s="425">
        <f>(H68/'Population Figures'!L28)*1000</f>
        <v>133.82109983478875</v>
      </c>
      <c r="W68" s="425">
        <f>(I68/'Population Figures'!L28)*1000</f>
        <v>45.421288647628039</v>
      </c>
      <c r="X68" s="500">
        <f>(J68/'Population Figures'!L28)*1000</f>
        <v>8.8860042482888844</v>
      </c>
      <c r="Y68" s="186">
        <f>(K68/'Population Figures'!L28)*1000</f>
        <v>0</v>
      </c>
      <c r="Z68" s="186">
        <f>(L68/'Population Figures'!L28)*1000</f>
        <v>0</v>
      </c>
      <c r="AA68" s="501">
        <f>(M68/'Population Figures'!L28)*1000</f>
        <v>21.57186688694831</v>
      </c>
    </row>
    <row r="69" spans="1:27">
      <c r="A69" s="7" t="s">
        <v>54</v>
      </c>
      <c r="B69" s="425">
        <v>105167</v>
      </c>
      <c r="C69" s="280">
        <v>256</v>
      </c>
      <c r="D69" s="425">
        <v>0</v>
      </c>
      <c r="E69" s="425">
        <v>24440</v>
      </c>
      <c r="F69" s="280">
        <v>45457</v>
      </c>
      <c r="G69" s="425">
        <v>7970</v>
      </c>
      <c r="H69" s="425">
        <v>17846</v>
      </c>
      <c r="I69" s="425">
        <v>4937</v>
      </c>
      <c r="J69" s="425">
        <v>1860</v>
      </c>
      <c r="K69" s="280">
        <v>0</v>
      </c>
      <c r="L69" s="280">
        <v>0</v>
      </c>
      <c r="M69" s="280">
        <v>2401</v>
      </c>
      <c r="N69" s="233"/>
      <c r="O69" s="7" t="s">
        <v>54</v>
      </c>
      <c r="P69" s="425">
        <f>(B69*1000)/SUM('Population Figures'!$K29:$M29)</f>
        <v>620.12500737071764</v>
      </c>
      <c r="Q69" s="280">
        <f>(C69/SUM('Population Figures'!K29:M29))*1000</f>
        <v>1.5095229671560824</v>
      </c>
      <c r="R69" s="425">
        <f>(D69/'Population Figures'!K29)*1000</f>
        <v>0</v>
      </c>
      <c r="S69" s="425">
        <f>(E69/'Population Figures'!K29)*1000</f>
        <v>689.49952039722393</v>
      </c>
      <c r="T69" s="280">
        <f>(F69/'Population Figures'!M29)*1000</f>
        <v>1666.678888318545</v>
      </c>
      <c r="U69" s="425">
        <f>(G69/'Population Figures'!L29)*1000</f>
        <v>74.57658837840367</v>
      </c>
      <c r="V69" s="425">
        <f>(H69/'Population Figures'!L29)*1000</f>
        <v>166.98792925984841</v>
      </c>
      <c r="W69" s="425">
        <f>(I69/'Population Figures'!L29)*1000</f>
        <v>46.196313277814163</v>
      </c>
      <c r="X69" s="500">
        <f>(J69/'Population Figures'!L29)*1000</f>
        <v>17.404323009263592</v>
      </c>
      <c r="Y69" s="186">
        <f>(K69/'Population Figures'!L29)*1000</f>
        <v>0</v>
      </c>
      <c r="Z69" s="186">
        <f>(L69/'Population Figures'!L29)*1000</f>
        <v>0</v>
      </c>
      <c r="AA69" s="501">
        <f>(M69/'Population Figures'!L29)*1000</f>
        <v>22.466548142603163</v>
      </c>
    </row>
    <row r="70" spans="1:27">
      <c r="A70" s="7" t="s">
        <v>55</v>
      </c>
      <c r="B70" s="425">
        <v>62606</v>
      </c>
      <c r="C70" s="280">
        <v>733</v>
      </c>
      <c r="D70" s="425">
        <v>45</v>
      </c>
      <c r="E70" s="425">
        <v>9905</v>
      </c>
      <c r="F70" s="280">
        <v>30188</v>
      </c>
      <c r="G70" s="425">
        <v>4996</v>
      </c>
      <c r="H70" s="425">
        <v>12716</v>
      </c>
      <c r="I70" s="425">
        <v>2294</v>
      </c>
      <c r="J70" s="425">
        <v>234</v>
      </c>
      <c r="K70" s="280">
        <v>0</v>
      </c>
      <c r="L70" s="280">
        <v>0</v>
      </c>
      <c r="M70" s="280">
        <v>1495</v>
      </c>
      <c r="N70" s="233"/>
      <c r="O70" s="7" t="s">
        <v>55</v>
      </c>
      <c r="P70" s="425">
        <f>(B70*1000)/SUM('Population Figures'!$K30:$M30)</f>
        <v>567.90638606676339</v>
      </c>
      <c r="Q70" s="280">
        <f>(C70/SUM('Population Figures'!K30:M30))*1000</f>
        <v>6.649129172714078</v>
      </c>
      <c r="R70" s="425">
        <f>(D70/'Population Figures'!K30)*1000</f>
        <v>1.9749835418038184</v>
      </c>
      <c r="S70" s="425">
        <f>(E70/'Population Figures'!K30)*1000</f>
        <v>434.715821812596</v>
      </c>
      <c r="T70" s="280">
        <f>(F70/'Population Figures'!M30)*1000</f>
        <v>1419.8767696721698</v>
      </c>
      <c r="U70" s="425">
        <f>(G70/'Population Figures'!L30)*1000</f>
        <v>75.475118590808833</v>
      </c>
      <c r="V70" s="425">
        <f>(H70/'Population Figures'!L30)*1000</f>
        <v>192.10200320270721</v>
      </c>
      <c r="W70" s="425">
        <f>(I70/'Population Figures'!L30)*1000</f>
        <v>34.655708976644412</v>
      </c>
      <c r="X70" s="500">
        <f>(J70/'Population Figures'!L30)*1000</f>
        <v>3.5350636009305978</v>
      </c>
      <c r="Y70" s="186">
        <f>(K70/'Population Figures'!L30)*1000</f>
        <v>0</v>
      </c>
      <c r="Z70" s="186">
        <f>(L70/'Population Figures'!L30)*1000</f>
        <v>0</v>
      </c>
      <c r="AA70" s="501">
        <f>(M70/'Population Figures'!L30)*1000</f>
        <v>22.585128561501044</v>
      </c>
    </row>
    <row r="71" spans="1:27">
      <c r="A71" s="7" t="s">
        <v>56</v>
      </c>
      <c r="B71" s="425">
        <v>19335</v>
      </c>
      <c r="C71" s="280">
        <v>369</v>
      </c>
      <c r="D71" s="425">
        <v>36</v>
      </c>
      <c r="E71" s="425">
        <v>3413</v>
      </c>
      <c r="F71" s="280">
        <v>9700</v>
      </c>
      <c r="G71" s="425">
        <v>1207</v>
      </c>
      <c r="H71" s="425">
        <v>3297</v>
      </c>
      <c r="I71" s="425">
        <v>769</v>
      </c>
      <c r="J71" s="425">
        <v>210</v>
      </c>
      <c r="K71" s="280">
        <v>0</v>
      </c>
      <c r="L71" s="280">
        <v>0</v>
      </c>
      <c r="M71" s="280">
        <v>334</v>
      </c>
      <c r="N71" s="233"/>
      <c r="O71" s="7" t="s">
        <v>56</v>
      </c>
      <c r="P71" s="425">
        <f>(B71*1000)/SUM('Population Figures'!$K31:$M31)</f>
        <v>883.68372943327245</v>
      </c>
      <c r="Q71" s="280">
        <f>(C71/SUM('Population Figures'!K31:M31))*1000</f>
        <v>16.864716636197439</v>
      </c>
      <c r="R71" s="425">
        <f>(D71/'Population Figures'!K31)*1000</f>
        <v>7.1329502674856347</v>
      </c>
      <c r="S71" s="425">
        <f>(E71/'Population Figures'!K31)*1000</f>
        <v>676.24331285912422</v>
      </c>
      <c r="T71" s="280">
        <f>(F71/'Population Figures'!M31)*1000</f>
        <v>2852.1023228462218</v>
      </c>
      <c r="U71" s="425">
        <f>(G71/'Population Figures'!L31)*1000</f>
        <v>89.860035735556878</v>
      </c>
      <c r="V71" s="425">
        <f>(H71/'Population Figures'!L31)*1000</f>
        <v>245.45860631328171</v>
      </c>
      <c r="W71" s="425">
        <f>(I71/'Population Figures'!L31)*1000</f>
        <v>57.251340083382964</v>
      </c>
      <c r="X71" s="500">
        <f>(J71/'Population Figures'!L31)*1000</f>
        <v>15.634306134603928</v>
      </c>
      <c r="Y71" s="186">
        <f>(K71/'Population Figures'!L31)*1000</f>
        <v>0</v>
      </c>
      <c r="Z71" s="186">
        <f>(L71/'Population Figures'!L31)*1000</f>
        <v>0</v>
      </c>
      <c r="AA71" s="501">
        <f>(M71/'Population Figures'!L31)*1000</f>
        <v>24.865991661703394</v>
      </c>
    </row>
    <row r="72" spans="1:27">
      <c r="A72" s="7" t="s">
        <v>57</v>
      </c>
      <c r="B72" s="425">
        <v>64815</v>
      </c>
      <c r="C72" s="280">
        <v>40</v>
      </c>
      <c r="D72" s="425">
        <v>44</v>
      </c>
      <c r="E72" s="425">
        <v>13671</v>
      </c>
      <c r="F72" s="280">
        <v>34005</v>
      </c>
      <c r="G72" s="425">
        <v>2812</v>
      </c>
      <c r="H72" s="425">
        <v>9918</v>
      </c>
      <c r="I72" s="425">
        <v>1833</v>
      </c>
      <c r="J72" s="425">
        <v>1022</v>
      </c>
      <c r="K72" s="280">
        <v>0</v>
      </c>
      <c r="L72" s="280">
        <v>0</v>
      </c>
      <c r="M72" s="280">
        <v>1470</v>
      </c>
      <c r="O72" s="7" t="s">
        <v>57</v>
      </c>
      <c r="P72" s="425">
        <f>(B72*1000)/SUM('Population Figures'!$K32:$M32)</f>
        <v>580.41550998477658</v>
      </c>
      <c r="Q72" s="280">
        <f>(C72/SUM('Population Figures'!K32:M32))*1000</f>
        <v>0.35819826273842575</v>
      </c>
      <c r="R72" s="425">
        <f>(D72/'Population Figures'!K32)*1000</f>
        <v>2.0298011717488582</v>
      </c>
      <c r="S72" s="425">
        <f>(E72/'Population Figures'!K32)*1000</f>
        <v>630.66845043133276</v>
      </c>
      <c r="T72" s="280">
        <f>(F72/'Population Figures'!M32)*1000</f>
        <v>1511.9381085767641</v>
      </c>
      <c r="U72" s="425">
        <f>(G72/'Population Figures'!L32)*1000</f>
        <v>41.658024947408968</v>
      </c>
      <c r="V72" s="425">
        <f>(H72/'Population Figures'!L32)*1000</f>
        <v>146.92897988207756</v>
      </c>
      <c r="W72" s="425">
        <f>(I72/'Population Figures'!L32)*1000</f>
        <v>27.154750970341617</v>
      </c>
      <c r="X72" s="500">
        <f>(J72/'Population Figures'!L32)*1000</f>
        <v>15.140292139492164</v>
      </c>
      <c r="Y72" s="186">
        <f>(K72/'Population Figures'!L32)*1000</f>
        <v>0</v>
      </c>
      <c r="Z72" s="186">
        <f>(L72/'Population Figures'!L32)*1000</f>
        <v>0</v>
      </c>
      <c r="AA72" s="501">
        <f>(M72/'Population Figures'!L32)*1000</f>
        <v>21.777132529406536</v>
      </c>
    </row>
    <row r="73" spans="1:27">
      <c r="A73" s="7" t="s">
        <v>58</v>
      </c>
      <c r="B73" s="425">
        <v>151404</v>
      </c>
      <c r="C73" s="280">
        <v>1489</v>
      </c>
      <c r="D73" s="425">
        <v>69</v>
      </c>
      <c r="E73" s="425">
        <v>30262</v>
      </c>
      <c r="F73" s="280">
        <v>71346</v>
      </c>
      <c r="G73" s="425">
        <v>4492</v>
      </c>
      <c r="H73" s="425">
        <v>32540</v>
      </c>
      <c r="I73" s="425">
        <v>5165</v>
      </c>
      <c r="J73" s="425">
        <v>952</v>
      </c>
      <c r="K73" s="280">
        <v>0</v>
      </c>
      <c r="L73" s="280">
        <v>0</v>
      </c>
      <c r="M73" s="280">
        <v>5089</v>
      </c>
      <c r="O73" s="7" t="s">
        <v>58</v>
      </c>
      <c r="P73" s="425">
        <f>(B73*1000)/SUM('Population Figures'!$K33:$M33)</f>
        <v>492.09867715409365</v>
      </c>
      <c r="Q73" s="280">
        <f>(C73/SUM('Population Figures'!K33:M33))*1000</f>
        <v>4.8396008710631522</v>
      </c>
      <c r="R73" s="425">
        <f>(D73/'Population Figures'!K33)*1000</f>
        <v>1.0556269506150175</v>
      </c>
      <c r="S73" s="425">
        <f>(E73/'Population Figures'!K33)*1000</f>
        <v>462.97656202190808</v>
      </c>
      <c r="T73" s="280">
        <f>(F73/'Population Figures'!M33)*1000</f>
        <v>1450.1809016626692</v>
      </c>
      <c r="U73" s="425">
        <f>(G73/'Population Figures'!L33)*1000</f>
        <v>23.261594548128507</v>
      </c>
      <c r="V73" s="425">
        <f>(H73/'Population Figures'!L33)*1000</f>
        <v>168.50674234107339</v>
      </c>
      <c r="W73" s="425">
        <f>(I73/'Population Figures'!L33)*1000</f>
        <v>26.746690970855688</v>
      </c>
      <c r="X73" s="500">
        <f>(J73/'Population Figures'!L33)*1000</f>
        <v>4.929883795596246</v>
      </c>
      <c r="Y73" s="186">
        <f>(K73/'Population Figures'!L33)*1000</f>
        <v>0</v>
      </c>
      <c r="Z73" s="186">
        <f>(L73/'Population Figures'!L33)*1000</f>
        <v>0</v>
      </c>
      <c r="AA73" s="501">
        <f>(M73/'Population Figures'!L33)*1000</f>
        <v>26.353128819106409</v>
      </c>
    </row>
    <row r="74" spans="1:27">
      <c r="A74" s="7" t="s">
        <v>59</v>
      </c>
      <c r="B74" s="425">
        <v>46081</v>
      </c>
      <c r="C74" s="280">
        <v>344</v>
      </c>
      <c r="D74" s="425">
        <v>0</v>
      </c>
      <c r="E74" s="425">
        <v>10814</v>
      </c>
      <c r="F74" s="280">
        <v>20961</v>
      </c>
      <c r="G74" s="425">
        <v>1895</v>
      </c>
      <c r="H74" s="425">
        <v>7859</v>
      </c>
      <c r="I74" s="425">
        <v>1725</v>
      </c>
      <c r="J74" s="425">
        <v>594</v>
      </c>
      <c r="K74" s="280">
        <v>0</v>
      </c>
      <c r="L74" s="280">
        <v>0</v>
      </c>
      <c r="M74" s="280">
        <v>1889</v>
      </c>
      <c r="O74" s="7" t="s">
        <v>59</v>
      </c>
      <c r="P74" s="425">
        <f>(B74*1000)/SUM('Population Figures'!$K34:$M34)</f>
        <v>524.78077667691605</v>
      </c>
      <c r="Q74" s="280">
        <f>(C74/SUM('Population Figures'!K34:M34))*1000</f>
        <v>3.9175492540712904</v>
      </c>
      <c r="R74" s="425">
        <f>(D74/'Population Figures'!K34)*1000</f>
        <v>0</v>
      </c>
      <c r="S74" s="425">
        <f>(E74/'Population Figures'!K34)*1000</f>
        <v>566.05946398659967</v>
      </c>
      <c r="T74" s="280">
        <f>(F74/'Population Figures'!M34)*1000</f>
        <v>1467.8571428571427</v>
      </c>
      <c r="U74" s="425">
        <f>(G74/'Population Figures'!L34)*1000</f>
        <v>34.817917906882741</v>
      </c>
      <c r="V74" s="425">
        <f>(H74/'Population Figures'!L34)*1000</f>
        <v>144.39789806342557</v>
      </c>
      <c r="W74" s="425">
        <f>(I74/'Population Figures'!L34)*1000</f>
        <v>31.694410759563446</v>
      </c>
      <c r="X74" s="500">
        <f>(J74/'Population Figures'!L34)*1000</f>
        <v>10.913901444162716</v>
      </c>
      <c r="Y74" s="186">
        <f>(K74/'Population Figures'!L34)*1000</f>
        <v>0</v>
      </c>
      <c r="Z74" s="186">
        <f>(L74/'Population Figures'!L34)*1000</f>
        <v>0</v>
      </c>
      <c r="AA74" s="501">
        <f>(M74/'Population Figures'!L34)*1000</f>
        <v>34.707676478153822</v>
      </c>
    </row>
    <row r="75" spans="1:27">
      <c r="A75" s="7" t="s">
        <v>60</v>
      </c>
      <c r="B75" s="425">
        <v>62000</v>
      </c>
      <c r="C75" s="280">
        <v>1072</v>
      </c>
      <c r="D75" s="425">
        <v>43</v>
      </c>
      <c r="E75" s="425">
        <v>13897</v>
      </c>
      <c r="F75" s="280">
        <v>22589</v>
      </c>
      <c r="G75" s="425">
        <v>4687</v>
      </c>
      <c r="H75" s="425">
        <v>11275</v>
      </c>
      <c r="I75" s="425">
        <v>5103</v>
      </c>
      <c r="J75" s="425">
        <v>1339</v>
      </c>
      <c r="K75" s="280">
        <v>36</v>
      </c>
      <c r="L75" s="280">
        <v>41</v>
      </c>
      <c r="M75" s="280">
        <v>1918</v>
      </c>
      <c r="O75" s="7" t="s">
        <v>60</v>
      </c>
      <c r="P75" s="425">
        <f>(B75*1000)/SUM('Population Figures'!$K35:$M35)</f>
        <v>679.52652345462513</v>
      </c>
      <c r="Q75" s="280">
        <f>(C75/SUM('Population Figures'!K35:M35))*1000</f>
        <v>11.749232792634809</v>
      </c>
      <c r="R75" s="425">
        <f>(D75/'Population Figures'!K35)*1000</f>
        <v>2.2579290065112372</v>
      </c>
      <c r="S75" s="425">
        <f>(E75/'Population Figures'!K35)*1000</f>
        <v>729.73114891829448</v>
      </c>
      <c r="T75" s="280">
        <f>(F75/'Population Figures'!M35)*1000</f>
        <v>1546.768008764722</v>
      </c>
      <c r="U75" s="425">
        <f>(G75/'Population Figures'!L35)*1000</f>
        <v>81.382830948742878</v>
      </c>
      <c r="V75" s="425">
        <f>(H75/'Population Figures'!L35)*1000</f>
        <v>195.77371857202388</v>
      </c>
      <c r="W75" s="425">
        <f>(I75/'Population Figures'!L35)*1000</f>
        <v>88.606056396721769</v>
      </c>
      <c r="X75" s="500">
        <f>(J75/'Population Figures'!L35)*1000</f>
        <v>23.249756910682041</v>
      </c>
      <c r="Y75" s="186">
        <f>(K75/'Population Figures'!L35)*1000</f>
        <v>0.62508681761355744</v>
      </c>
      <c r="Z75" s="186">
        <f>(L75/'Population Figures'!L35)*1000</f>
        <v>0.711904431170996</v>
      </c>
      <c r="AA75" s="501">
        <f>(M75/'Population Figures'!L35)*1000</f>
        <v>33.303236560633422</v>
      </c>
    </row>
    <row r="76" spans="1:27">
      <c r="A76" s="7" t="s">
        <v>61</v>
      </c>
      <c r="B76" s="425">
        <v>69391</v>
      </c>
      <c r="C76" s="280">
        <v>2923</v>
      </c>
      <c r="D76" s="425">
        <v>60</v>
      </c>
      <c r="E76" s="425">
        <v>16626</v>
      </c>
      <c r="F76" s="280">
        <v>27239</v>
      </c>
      <c r="G76" s="425">
        <v>5122</v>
      </c>
      <c r="H76" s="425">
        <v>10664</v>
      </c>
      <c r="I76" s="425">
        <v>3691</v>
      </c>
      <c r="J76" s="425">
        <v>983</v>
      </c>
      <c r="K76" s="280">
        <v>8</v>
      </c>
      <c r="L76" s="280">
        <v>0</v>
      </c>
      <c r="M76" s="280">
        <v>2075</v>
      </c>
      <c r="O76" s="7" t="s">
        <v>61</v>
      </c>
      <c r="P76" s="425">
        <f>(B76*1000)/SUM('Population Figures'!$K36:$M36)</f>
        <v>418.7748943874472</v>
      </c>
      <c r="Q76" s="280">
        <f>(C76/SUM('Population Figures'!K36:M36))*1000</f>
        <v>17.640313820156909</v>
      </c>
      <c r="R76" s="425">
        <f>(D76/'Population Figures'!K36)*1000</f>
        <v>1.5424164524421595</v>
      </c>
      <c r="S76" s="425">
        <f>(E76/'Population Figures'!K36)*1000</f>
        <v>427.40359897172237</v>
      </c>
      <c r="T76" s="280">
        <f>(F76/'Population Figures'!M36)*1000</f>
        <v>1309.7562148386785</v>
      </c>
      <c r="U76" s="425">
        <f>(G76/'Population Figures'!L36)*1000</f>
        <v>48.31938718715508</v>
      </c>
      <c r="V76" s="425">
        <f>(H76/'Population Figures'!L36)*1000</f>
        <v>100.60092638887579</v>
      </c>
      <c r="W76" s="425">
        <f>(I76/'Population Figures'!L36)*1000</f>
        <v>34.819769251813625</v>
      </c>
      <c r="X76" s="500">
        <f>(J76/'Population Figures'!L36)*1000</f>
        <v>9.2733224531381193</v>
      </c>
      <c r="Y76" s="186">
        <f>(K76/'Population Figures'!L36)*1000</f>
        <v>7.5469562182202396E-2</v>
      </c>
      <c r="Z76" s="186">
        <f>(L76/'Population Figures'!L36)*1000</f>
        <v>0</v>
      </c>
      <c r="AA76" s="501">
        <f>(M76/'Population Figures'!L36)*1000</f>
        <v>19.574917691008743</v>
      </c>
    </row>
    <row r="77" spans="1:27">
      <c r="A77" s="52" t="s">
        <v>5</v>
      </c>
      <c r="B77" s="53">
        <f>SUM(B45:B76)</f>
        <v>2994486</v>
      </c>
      <c r="C77" s="52">
        <f t="shared" ref="C77:M77" si="34">SUM(C45:C76)</f>
        <v>26929</v>
      </c>
      <c r="D77" s="53">
        <f t="shared" si="34"/>
        <v>2669</v>
      </c>
      <c r="E77" s="53">
        <f t="shared" si="34"/>
        <v>638775</v>
      </c>
      <c r="F77" s="52">
        <f t="shared" si="34"/>
        <v>1352412</v>
      </c>
      <c r="G77" s="53">
        <f t="shared" si="34"/>
        <v>192323</v>
      </c>
      <c r="H77" s="53">
        <f t="shared" si="34"/>
        <v>503005</v>
      </c>
      <c r="I77" s="53">
        <f t="shared" si="34"/>
        <v>130461</v>
      </c>
      <c r="J77" s="53">
        <f t="shared" si="34"/>
        <v>42348</v>
      </c>
      <c r="K77" s="52">
        <f t="shared" si="34"/>
        <v>2223</v>
      </c>
      <c r="L77" s="52">
        <f t="shared" si="34"/>
        <v>2231</v>
      </c>
      <c r="M77" s="52">
        <f t="shared" si="34"/>
        <v>101110</v>
      </c>
      <c r="N77" s="1"/>
      <c r="O77" s="52" t="s">
        <v>5</v>
      </c>
      <c r="P77" s="53">
        <f>(B77*1000)/SUM('Population Figures'!$K37:$M37)</f>
        <v>585.21487619457093</v>
      </c>
      <c r="Q77" s="52">
        <f>(C77/SUM('Population Figures'!K37:M37))*1000</f>
        <v>5.2627567472493118</v>
      </c>
      <c r="R77" s="53">
        <f>(D77/'Population Figures'!K37)*1000</f>
        <v>2.5414448814024126</v>
      </c>
      <c r="S77" s="53">
        <f>(E77/'Population Figures'!K37)*1000</f>
        <v>608.24707909997232</v>
      </c>
      <c r="T77" s="52">
        <f>(F77/'Population Figures'!M37)*1000</f>
        <v>1613.9184312527448</v>
      </c>
      <c r="U77" s="53">
        <f>(G77/'Population Figures'!L37)*1000</f>
        <v>59.565923818007136</v>
      </c>
      <c r="V77" s="53">
        <f>(H77/'Population Figures'!L37)*1000</f>
        <v>155.78977818605514</v>
      </c>
      <c r="W77" s="53">
        <f>(I77/'Population Figures'!L37)*1000</f>
        <v>40.40613960483681</v>
      </c>
      <c r="X77" s="445">
        <f>(J77/'Population Figures'!L37)*1000</f>
        <v>13.115944228433243</v>
      </c>
      <c r="Y77" s="446">
        <f>(K77/'Population Figures'!L37)*1000</f>
        <v>0.68850344809216713</v>
      </c>
      <c r="Z77" s="446">
        <f>(L77/'Population Figures'!L37)*1000</f>
        <v>0.69098119329447816</v>
      </c>
      <c r="AA77" s="446">
        <f>(M77/'Population Figures'!L37)*1000</f>
        <v>31.315602175708065</v>
      </c>
    </row>
  </sheetData>
  <sheetProtection selectLockedCells="1" selectUnlockedCells="1"/>
  <mergeCells count="4">
    <mergeCell ref="B1:M1"/>
    <mergeCell ref="O1:Z1"/>
    <mergeCell ref="B43:M43"/>
    <mergeCell ref="O43:Z43"/>
  </mergeCells>
  <phoneticPr fontId="0"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4"/>
    <pageSetUpPr fitToPage="1"/>
  </sheetPr>
  <dimension ref="A1:AA77"/>
  <sheetViews>
    <sheetView topLeftCell="A4" zoomScale="85" workbookViewId="0">
      <selection activeCell="A2" sqref="A2"/>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row>
    <row r="3" spans="1:27">
      <c r="A3" s="7" t="s">
        <v>31</v>
      </c>
      <c r="B3" s="8">
        <f>B45*$F$39</f>
        <v>160686.60088329396</v>
      </c>
      <c r="C3" s="7">
        <f t="shared" ref="C3:M3" si="0">C45*$F$39</f>
        <v>776.75580748365576</v>
      </c>
      <c r="D3" s="8">
        <f t="shared" si="0"/>
        <v>0</v>
      </c>
      <c r="E3" s="8">
        <f t="shared" si="0"/>
        <v>34978.634719710673</v>
      </c>
      <c r="F3" s="7">
        <f t="shared" si="0"/>
        <v>65084.078105438872</v>
      </c>
      <c r="G3" s="8">
        <f t="shared" si="0"/>
        <v>10631.705209347616</v>
      </c>
      <c r="H3" s="8">
        <f t="shared" si="0"/>
        <v>29925.244992349428</v>
      </c>
      <c r="I3" s="8">
        <f t="shared" si="0"/>
        <v>10722.364028376689</v>
      </c>
      <c r="J3" s="8">
        <f t="shared" si="0"/>
        <v>3344.3031019613304</v>
      </c>
      <c r="K3" s="7">
        <f t="shared" si="0"/>
        <v>0</v>
      </c>
      <c r="L3" s="7">
        <f t="shared" si="0"/>
        <v>20.146404228682712</v>
      </c>
      <c r="M3" s="7">
        <f t="shared" si="0"/>
        <v>5203.368514396996</v>
      </c>
      <c r="O3" s="7" t="s">
        <v>31</v>
      </c>
      <c r="P3" s="8">
        <f>(B3*1000)/SUM('Population Figures'!$N5:$P5)</f>
        <v>767.88015331785323</v>
      </c>
      <c r="Q3" s="7">
        <f>(C3*1000)/SUM('Population Figures'!$N5:$P5)</f>
        <v>3.7119172679138668</v>
      </c>
      <c r="R3" s="8">
        <f>(D3*1000)/SUM('Population Figures'!$N5)</f>
        <v>0</v>
      </c>
      <c r="S3" s="8">
        <f>(E3*1000)/SUM('Population Figures'!$N5)</f>
        <v>933.01239583117285</v>
      </c>
      <c r="T3" s="7">
        <f>(F3*1000)/SUM('Population Figures'!$P5)</f>
        <v>2016.8601830008947</v>
      </c>
      <c r="U3" s="8">
        <f>(G3*1000)/SUM('Population Figures'!$O5)</f>
        <v>76.212940568800107</v>
      </c>
      <c r="V3" s="8">
        <f>(H3*1000)/SUM('Population Figures'!$O5)</f>
        <v>214.51788524981669</v>
      </c>
      <c r="W3" s="8">
        <f>(I3*1000)/SUM('Population Figures'!$O5)</f>
        <v>76.86282457617699</v>
      </c>
      <c r="X3" s="8">
        <f>(J3*1000)/SUM('Population Figures'!$O5)</f>
        <v>23.9734989387909</v>
      </c>
      <c r="Y3" s="7">
        <f>(K3*1000)/SUM('Population Figures'!$O5)</f>
        <v>0</v>
      </c>
      <c r="Z3" s="7">
        <f>(L3*1000)/SUM('Population Figures'!$O5)</f>
        <v>0.14441866830596928</v>
      </c>
      <c r="AA3" s="7">
        <f>(M3*1000)/SUM('Population Figures'!$O5)</f>
        <v>37.300132719691732</v>
      </c>
    </row>
    <row r="4" spans="1:27">
      <c r="A4" s="7" t="s">
        <v>32</v>
      </c>
      <c r="B4" s="8">
        <f t="shared" ref="B4:M4" si="1">B46*$F$39</f>
        <v>145703.27236055085</v>
      </c>
      <c r="C4" s="7">
        <f t="shared" si="1"/>
        <v>1292.7276046738075</v>
      </c>
      <c r="D4" s="8">
        <f t="shared" si="1"/>
        <v>132.07087216580891</v>
      </c>
      <c r="E4" s="8">
        <f t="shared" si="1"/>
        <v>26774.571219919326</v>
      </c>
      <c r="F4" s="7">
        <f t="shared" si="1"/>
        <v>63336.937160940332</v>
      </c>
      <c r="G4" s="8">
        <f t="shared" si="1"/>
        <v>7232.5591180970941</v>
      </c>
      <c r="H4" s="8">
        <f t="shared" si="1"/>
        <v>36375.452079566006</v>
      </c>
      <c r="I4" s="8">
        <f t="shared" si="1"/>
        <v>5318.6507163722363</v>
      </c>
      <c r="J4" s="8">
        <f t="shared" si="1"/>
        <v>2096.3452844623735</v>
      </c>
      <c r="K4" s="7">
        <f t="shared" si="1"/>
        <v>0</v>
      </c>
      <c r="L4" s="7">
        <f t="shared" si="1"/>
        <v>0</v>
      </c>
      <c r="M4" s="7">
        <f t="shared" si="1"/>
        <v>3143.9583043538746</v>
      </c>
      <c r="O4" s="7" t="s">
        <v>32</v>
      </c>
      <c r="P4" s="8">
        <f>(B4*1000)/SUM('Population Figures'!$N6:$P6)</f>
        <v>609.22927061611824</v>
      </c>
      <c r="Q4" s="7">
        <f>(C4*1000)/SUM('Population Figures'!$N6:$P6)</f>
        <v>5.4052835117653766</v>
      </c>
      <c r="R4" s="8">
        <f>(D4*1000)/SUM('Population Figures'!$N6)</f>
        <v>2.5057082827238544</v>
      </c>
      <c r="S4" s="8">
        <f>(E4*1000)/SUM('Population Figures'!$N6)</f>
        <v>507.9792672823732</v>
      </c>
      <c r="T4" s="7">
        <f>(F4*1000)/SUM('Population Figures'!$P6)</f>
        <v>1695.404924271651</v>
      </c>
      <c r="U4" s="8">
        <f>(G4*1000)/SUM('Population Figures'!$O6)</f>
        <v>48.51006155913111</v>
      </c>
      <c r="V4" s="8">
        <f>(H4*1000)/SUM('Population Figures'!$O6)</f>
        <v>243.97663272543502</v>
      </c>
      <c r="W4" s="8">
        <f>(I4*1000)/SUM('Population Figures'!$O6)</f>
        <v>35.67313719111592</v>
      </c>
      <c r="X4" s="8">
        <f>(J4*1000)/SUM('Population Figures'!$O6)</f>
        <v>14.060561018299687</v>
      </c>
      <c r="Y4" s="7">
        <f>(K4*1000)/SUM('Population Figures'!$O6)</f>
        <v>0</v>
      </c>
      <c r="Z4" s="7">
        <f>(L4*1000)/SUM('Population Figures'!$O6)</f>
        <v>0</v>
      </c>
      <c r="AA4" s="7">
        <f>(M4*1000)/SUM('Population Figures'!$O6)</f>
        <v>21.087088040792217</v>
      </c>
    </row>
    <row r="5" spans="1:27">
      <c r="A5" s="7" t="s">
        <v>33</v>
      </c>
      <c r="B5" s="8">
        <f t="shared" ref="B5:M5" si="2">B47*$F$39</f>
        <v>71199.631033523445</v>
      </c>
      <c r="C5" s="7">
        <f t="shared" si="2"/>
        <v>451.05560578661851</v>
      </c>
      <c r="D5" s="8">
        <f t="shared" si="2"/>
        <v>151.09803171512036</v>
      </c>
      <c r="E5" s="8">
        <f t="shared" si="2"/>
        <v>16077.949819168176</v>
      </c>
      <c r="F5" s="7">
        <f t="shared" si="2"/>
        <v>37811.44300319934</v>
      </c>
      <c r="G5" s="8">
        <f t="shared" si="2"/>
        <v>3119.3349214077066</v>
      </c>
      <c r="H5" s="8">
        <f t="shared" si="2"/>
        <v>9236.0070941716531</v>
      </c>
      <c r="I5" s="8">
        <f t="shared" si="2"/>
        <v>2302.2863054666855</v>
      </c>
      <c r="J5" s="8">
        <f t="shared" si="2"/>
        <v>466.7250312978162</v>
      </c>
      <c r="K5" s="7">
        <f t="shared" si="2"/>
        <v>5.5962233968563089</v>
      </c>
      <c r="L5" s="7">
        <f t="shared" si="2"/>
        <v>0</v>
      </c>
      <c r="M5" s="7">
        <f t="shared" si="2"/>
        <v>1578.1349979134791</v>
      </c>
      <c r="O5" s="7" t="s">
        <v>33</v>
      </c>
      <c r="P5" s="8">
        <f>(B5*1000)/SUM('Population Figures'!$N7:$P7)</f>
        <v>648.03523285267534</v>
      </c>
      <c r="Q5" s="7">
        <f>(C5*1000)/SUM('Population Figures'!$N7:$P7)</f>
        <v>4.1053572930428555</v>
      </c>
      <c r="R5" s="8">
        <f>(D5*1000)/SUM('Population Figures'!$N7)</f>
        <v>6.6489782932946255</v>
      </c>
      <c r="S5" s="8">
        <f>(E5*1000)/SUM('Population Figures'!$N7)</f>
        <v>707.50054209760958</v>
      </c>
      <c r="T5" s="7">
        <f>(F5*1000)/SUM('Population Figures'!$P7)</f>
        <v>1794.3927013667112</v>
      </c>
      <c r="U5" s="8">
        <f>(G5*1000)/SUM('Population Figures'!$O7)</f>
        <v>47.210432724527514</v>
      </c>
      <c r="V5" s="8">
        <f>(H5*1000)/SUM('Population Figures'!$O7)</f>
        <v>139.78489086573416</v>
      </c>
      <c r="W5" s="8">
        <f>(I5*1000)/SUM('Population Figures'!$O7)</f>
        <v>34.844585616918948</v>
      </c>
      <c r="X5" s="8">
        <f>(J5*1000)/SUM('Population Figures'!$O7)</f>
        <v>7.0637784162640749</v>
      </c>
      <c r="Y5" s="7">
        <f>(K5*1000)/SUM('Population Figures'!$O7)</f>
        <v>8.4697582928825829E-2</v>
      </c>
      <c r="Z5" s="7">
        <f>(L5*1000)/SUM('Population Figures'!$O7)</f>
        <v>0</v>
      </c>
      <c r="AA5" s="7">
        <f>(M5*1000)/SUM('Population Figures'!$O7)</f>
        <v>23.884718385928885</v>
      </c>
    </row>
    <row r="6" spans="1:27">
      <c r="A6" s="7" t="s">
        <v>34</v>
      </c>
      <c r="B6" s="8">
        <f t="shared" ref="B6:M6" si="3">B48*$F$39</f>
        <v>54238.597162331345</v>
      </c>
      <c r="C6" s="7">
        <f t="shared" si="3"/>
        <v>1296.0853387119212</v>
      </c>
      <c r="D6" s="8">
        <f t="shared" si="3"/>
        <v>57.081478647934354</v>
      </c>
      <c r="E6" s="8">
        <f t="shared" si="3"/>
        <v>10573.504486020311</v>
      </c>
      <c r="F6" s="7">
        <f t="shared" si="3"/>
        <v>28776.899951314514</v>
      </c>
      <c r="G6" s="8">
        <f t="shared" si="3"/>
        <v>939.04628599248872</v>
      </c>
      <c r="H6" s="8">
        <f t="shared" si="3"/>
        <v>10262.3544651551</v>
      </c>
      <c r="I6" s="8">
        <f t="shared" si="3"/>
        <v>2047.0985185700379</v>
      </c>
      <c r="J6" s="8">
        <f t="shared" si="3"/>
        <v>299.95757407149819</v>
      </c>
      <c r="K6" s="7">
        <f t="shared" si="3"/>
        <v>0</v>
      </c>
      <c r="L6" s="7">
        <f t="shared" si="3"/>
        <v>0</v>
      </c>
      <c r="M6" s="7">
        <f t="shared" si="3"/>
        <v>-13.430936152455143</v>
      </c>
      <c r="O6" s="7" t="s">
        <v>34</v>
      </c>
      <c r="P6" s="8">
        <f>(B6*1000)/SUM('Population Figures'!$N8:$P8)</f>
        <v>593.7449059915856</v>
      </c>
      <c r="Q6" s="7">
        <f>(C6*1000)/SUM('Population Figures'!$N8:$P8)</f>
        <v>14.188126313212054</v>
      </c>
      <c r="R6" s="8">
        <f>(D6*1000)/SUM('Population Figures'!$N8)</f>
        <v>3.2176707242353073</v>
      </c>
      <c r="S6" s="8">
        <f>(E6*1000)/SUM('Population Figures'!$N8)</f>
        <v>596.0261829774696</v>
      </c>
      <c r="T6" s="7">
        <f>(F6*1000)/SUM('Population Figures'!$P8)</f>
        <v>1555.1718521030325</v>
      </c>
      <c r="U6" s="8">
        <f>(G6*1000)/SUM('Population Figures'!$O8)</f>
        <v>17.04072670838908</v>
      </c>
      <c r="V6" s="8">
        <f>(H6*1000)/SUM('Population Figures'!$O8)</f>
        <v>186.22934825890286</v>
      </c>
      <c r="W6" s="8">
        <f>(I6*1000)/SUM('Population Figures'!$O8)</f>
        <v>37.148378009110402</v>
      </c>
      <c r="X6" s="8">
        <f>(J6*1000)/SUM('Population Figures'!$O8)</f>
        <v>5.4432833824174898</v>
      </c>
      <c r="Y6" s="7">
        <f>(K6*1000)/SUM('Population Figures'!$O8)</f>
        <v>0</v>
      </c>
      <c r="Z6" s="7">
        <f>(L6*1000)/SUM('Population Figures'!$O8)</f>
        <v>0</v>
      </c>
      <c r="AA6" s="7">
        <f>(M6*1000)/SUM('Population Figures'!$O8)</f>
        <v>-0.24372910667540998</v>
      </c>
    </row>
    <row r="7" spans="1:27">
      <c r="A7" s="7" t="s">
        <v>35</v>
      </c>
      <c r="B7" s="8">
        <f t="shared" ref="B7:M7" si="4">B49*$F$39</f>
        <v>33079.276498817642</v>
      </c>
      <c r="C7" s="7">
        <f t="shared" si="4"/>
        <v>161.1712338294617</v>
      </c>
      <c r="D7" s="8">
        <f t="shared" si="4"/>
        <v>21.265648908053976</v>
      </c>
      <c r="E7" s="8">
        <f t="shared" si="4"/>
        <v>8252.1910210043134</v>
      </c>
      <c r="F7" s="7">
        <f t="shared" si="4"/>
        <v>13894.303449714844</v>
      </c>
      <c r="G7" s="8">
        <f t="shared" si="4"/>
        <v>2955.9251982195024</v>
      </c>
      <c r="H7" s="8">
        <f t="shared" si="4"/>
        <v>4137.8475796355551</v>
      </c>
      <c r="I7" s="8">
        <f t="shared" si="4"/>
        <v>2048.217763249409</v>
      </c>
      <c r="J7" s="8">
        <f t="shared" si="4"/>
        <v>188.03310613437199</v>
      </c>
      <c r="K7" s="7">
        <f t="shared" si="4"/>
        <v>0</v>
      </c>
      <c r="L7" s="7">
        <f t="shared" si="4"/>
        <v>0</v>
      </c>
      <c r="M7" s="7">
        <f t="shared" si="4"/>
        <v>1420.3214981221313</v>
      </c>
      <c r="O7" s="7" t="s">
        <v>35</v>
      </c>
      <c r="P7" s="8">
        <f>(B7*1000)/SUM('Population Figures'!$N9:$P9)</f>
        <v>662.91135268171627</v>
      </c>
      <c r="Q7" s="7">
        <f>(C7*1000)/SUM('Population Figures'!$N9:$P9)</f>
        <v>3.2298844454801947</v>
      </c>
      <c r="R7" s="8">
        <f>(D7*1000)/SUM('Population Figures'!$N9)</f>
        <v>1.9499036225980173</v>
      </c>
      <c r="S7" s="8">
        <f>(E7*1000)/SUM('Population Figures'!$N9)</f>
        <v>756.66523207448313</v>
      </c>
      <c r="T7" s="7">
        <f>(F7*1000)/SUM('Population Figures'!$P9)</f>
        <v>1836.1706686553248</v>
      </c>
      <c r="U7" s="8">
        <f>(G7*1000)/SUM('Population Figures'!$O9)</f>
        <v>94.056868241305324</v>
      </c>
      <c r="V7" s="8">
        <f>(H7*1000)/SUM('Population Figures'!$O9)</f>
        <v>131.66536989326232</v>
      </c>
      <c r="W7" s="8">
        <f>(I7*1000)/SUM('Population Figures'!$O9)</f>
        <v>65.173823885493647</v>
      </c>
      <c r="X7" s="8">
        <f>(J7*1000)/SUM('Population Figures'!$O9)</f>
        <v>5.9831707173567947</v>
      </c>
      <c r="Y7" s="7">
        <f>(K7*1000)/SUM('Population Figures'!$O9)</f>
        <v>0</v>
      </c>
      <c r="Z7" s="7">
        <f>(L7*1000)/SUM('Population Figures'!$O9)</f>
        <v>0</v>
      </c>
      <c r="AA7" s="7">
        <f>(M7*1000)/SUM('Population Figures'!$O9)</f>
        <v>45.194307382891502</v>
      </c>
    </row>
    <row r="8" spans="1:27">
      <c r="A8" s="7" t="s">
        <v>36</v>
      </c>
      <c r="B8" s="8">
        <f t="shared" ref="B8:M8" si="5">B50*$F$39</f>
        <v>103469.69362915566</v>
      </c>
      <c r="C8" s="7">
        <f t="shared" si="5"/>
        <v>1562.4655724022814</v>
      </c>
      <c r="D8" s="8">
        <f t="shared" si="5"/>
        <v>126.47464876895259</v>
      </c>
      <c r="E8" s="8">
        <f t="shared" si="5"/>
        <v>20882.867227709005</v>
      </c>
      <c r="F8" s="7">
        <f t="shared" si="5"/>
        <v>49651.932466267914</v>
      </c>
      <c r="G8" s="8">
        <f t="shared" si="5"/>
        <v>6752.4031506468227</v>
      </c>
      <c r="H8" s="8">
        <f t="shared" si="5"/>
        <v>15718.672277090001</v>
      </c>
      <c r="I8" s="8">
        <f t="shared" si="5"/>
        <v>4301.2573028237593</v>
      </c>
      <c r="J8" s="8">
        <f t="shared" si="5"/>
        <v>542.83366949506194</v>
      </c>
      <c r="K8" s="7">
        <f t="shared" si="5"/>
        <v>0</v>
      </c>
      <c r="L8" s="7">
        <f t="shared" si="5"/>
        <v>0</v>
      </c>
      <c r="M8" s="7">
        <f t="shared" si="5"/>
        <v>3930.7873139518715</v>
      </c>
      <c r="O8" s="7" t="s">
        <v>36</v>
      </c>
      <c r="P8" s="8">
        <f>(B8*1000)/SUM('Population Figures'!$N10:$P10)</f>
        <v>697.70528408061807</v>
      </c>
      <c r="Q8" s="7">
        <f>(C8*1000)/SUM('Population Figures'!$N10:$P10)</f>
        <v>10.535843374256787</v>
      </c>
      <c r="R8" s="8">
        <f>(D8*1000)/SUM('Population Figures'!$N10)</f>
        <v>4.3383064785426058</v>
      </c>
      <c r="S8" s="8">
        <f>(E8*1000)/SUM('Population Figures'!$N10)</f>
        <v>716.31966616502598</v>
      </c>
      <c r="T8" s="7">
        <f>(F8*1000)/SUM('Population Figures'!$P10)</f>
        <v>1597.1414200420713</v>
      </c>
      <c r="U8" s="8">
        <f>(G8*1000)/SUM('Population Figures'!$O10)</f>
        <v>76.680443232910008</v>
      </c>
      <c r="V8" s="8">
        <f>(H8*1000)/SUM('Population Figures'!$O10)</f>
        <v>178.50159866782499</v>
      </c>
      <c r="W8" s="8">
        <f>(I8*1000)/SUM('Population Figures'!$O10)</f>
        <v>48.845175425836764</v>
      </c>
      <c r="X8" s="8">
        <f>(J8*1000)/SUM('Population Figures'!$O10)</f>
        <v>6.1644314549911083</v>
      </c>
      <c r="Y8" s="7">
        <f>(K8*1000)/SUM('Population Figures'!$O10)</f>
        <v>0</v>
      </c>
      <c r="Z8" s="7">
        <f>(L8*1000)/SUM('Population Figures'!$O10)</f>
        <v>0</v>
      </c>
      <c r="AA8" s="7">
        <f>(M8*1000)/SUM('Population Figures'!$O10)</f>
        <v>44.638109834904682</v>
      </c>
    </row>
    <row r="9" spans="1:27">
      <c r="A9" s="7" t="s">
        <v>37</v>
      </c>
      <c r="B9" s="8">
        <f t="shared" ref="B9:M9" si="6">B51*$F$39</f>
        <v>107866.08672972598</v>
      </c>
      <c r="C9" s="7">
        <f t="shared" si="6"/>
        <v>978.21984977048282</v>
      </c>
      <c r="D9" s="8">
        <f t="shared" si="6"/>
        <v>275.33419112533039</v>
      </c>
      <c r="E9" s="8">
        <f t="shared" si="6"/>
        <v>27380.082591459177</v>
      </c>
      <c r="F9" s="7">
        <f t="shared" si="6"/>
        <v>46927.690916678264</v>
      </c>
      <c r="G9" s="8">
        <f t="shared" si="6"/>
        <v>7400.445820002783</v>
      </c>
      <c r="H9" s="8">
        <f t="shared" si="6"/>
        <v>14006.22791765197</v>
      </c>
      <c r="I9" s="8">
        <f t="shared" si="6"/>
        <v>3879.3020587007936</v>
      </c>
      <c r="J9" s="8">
        <f t="shared" si="6"/>
        <v>791.30598831548207</v>
      </c>
      <c r="K9" s="7">
        <f t="shared" si="6"/>
        <v>230.56440395047994</v>
      </c>
      <c r="L9" s="7">
        <f t="shared" si="6"/>
        <v>0</v>
      </c>
      <c r="M9" s="7">
        <f t="shared" si="6"/>
        <v>5996.9129920712212</v>
      </c>
      <c r="O9" s="7" t="s">
        <v>37</v>
      </c>
      <c r="P9" s="8">
        <f>(B9*1000)/SUM('Population Figures'!$N11:$P11)</f>
        <v>758.81875996993313</v>
      </c>
      <c r="Q9" s="7">
        <f>(C9*1000)/SUM('Population Figures'!$N11:$P11)</f>
        <v>6.8816028826625599</v>
      </c>
      <c r="R9" s="8">
        <f>(D9*1000)/SUM('Population Figures'!$N11)</f>
        <v>10.139728626549694</v>
      </c>
      <c r="S9" s="8">
        <f>(E9*1000)/SUM('Population Figures'!$N11)</f>
        <v>1008.3259406149804</v>
      </c>
      <c r="T9" s="7">
        <f>(F9*1000)/SUM('Population Figures'!$P11)</f>
        <v>1826.7620739101665</v>
      </c>
      <c r="U9" s="8">
        <f>(G9*1000)/SUM('Population Figures'!$O11)</f>
        <v>82.865238111265441</v>
      </c>
      <c r="V9" s="8">
        <f>(H9*1000)/SUM('Population Figures'!$O11)</f>
        <v>156.8323638421621</v>
      </c>
      <c r="W9" s="8">
        <f>(I9*1000)/SUM('Population Figures'!$O11)</f>
        <v>43.437827479377802</v>
      </c>
      <c r="X9" s="8">
        <f>(J9*1000)/SUM('Population Figures'!$O11)</f>
        <v>8.8605147224235736</v>
      </c>
      <c r="Y9" s="7">
        <f>(K9*1000)/SUM('Population Figures'!$O11)</f>
        <v>2.5817058455717907</v>
      </c>
      <c r="Z9" s="7">
        <f>(L9*1000)/SUM('Population Figures'!$O11)</f>
        <v>0</v>
      </c>
      <c r="AA9" s="7">
        <f>(M9*1000)/SUM('Population Figures'!$O11)</f>
        <v>67.149417090163382</v>
      </c>
    </row>
    <row r="10" spans="1:27">
      <c r="A10" s="7" t="s">
        <v>38</v>
      </c>
      <c r="B10" s="8">
        <f t="shared" ref="B10:M10" si="7">B52*$F$39</f>
        <v>84799.573132563659</v>
      </c>
      <c r="C10" s="7">
        <f t="shared" si="7"/>
        <v>699.52792460703859</v>
      </c>
      <c r="D10" s="8">
        <f t="shared" si="7"/>
        <v>91.778063708443469</v>
      </c>
      <c r="E10" s="8">
        <f t="shared" si="7"/>
        <v>17546.398838503272</v>
      </c>
      <c r="F10" s="7">
        <f t="shared" si="7"/>
        <v>40142.829670329673</v>
      </c>
      <c r="G10" s="8">
        <f t="shared" si="7"/>
        <v>4669.488802336904</v>
      </c>
      <c r="H10" s="8">
        <f t="shared" si="7"/>
        <v>15510.492766726946</v>
      </c>
      <c r="I10" s="8">
        <f t="shared" si="7"/>
        <v>3189.8473362080963</v>
      </c>
      <c r="J10" s="8">
        <f t="shared" si="7"/>
        <v>370.46998887188767</v>
      </c>
      <c r="K10" s="7">
        <f t="shared" si="7"/>
        <v>0</v>
      </c>
      <c r="L10" s="7">
        <f t="shared" si="7"/>
        <v>0</v>
      </c>
      <c r="M10" s="7">
        <f t="shared" si="7"/>
        <v>2578.7397412713872</v>
      </c>
      <c r="O10" s="7" t="s">
        <v>38</v>
      </c>
      <c r="P10" s="8">
        <f>(B10*1000)/SUM('Population Figures'!$N12:$P12)</f>
        <v>709.20442529533886</v>
      </c>
      <c r="Q10" s="7">
        <f>(C10*1000)/SUM('Population Figures'!$N12:$P12)</f>
        <v>5.8503631730955812</v>
      </c>
      <c r="R10" s="8">
        <f>(D10*1000)/SUM('Population Figures'!$N12)</f>
        <v>3.6677482199753615</v>
      </c>
      <c r="S10" s="8">
        <f>(E10*1000)/SUM('Population Figures'!$N12)</f>
        <v>701.2108395677285</v>
      </c>
      <c r="T10" s="7">
        <f>(F10*1000)/SUM('Population Figures'!$P12)</f>
        <v>1987.9576917907034</v>
      </c>
      <c r="U10" s="8">
        <f>(G10*1000)/SUM('Population Figures'!$O12)</f>
        <v>62.800774703942011</v>
      </c>
      <c r="V10" s="8">
        <f>(H10*1000)/SUM('Population Figures'!$O12)</f>
        <v>208.60334032771533</v>
      </c>
      <c r="W10" s="8">
        <f>(I10*1000)/SUM('Population Figures'!$O12)</f>
        <v>42.900816851925875</v>
      </c>
      <c r="X10" s="8">
        <f>(J10*1000)/SUM('Population Figures'!$O12)</f>
        <v>4.9825159221008644</v>
      </c>
      <c r="Y10" s="7">
        <f>(K10*1000)/SUM('Population Figures'!$O12)</f>
        <v>0</v>
      </c>
      <c r="Z10" s="7">
        <f>(L10*1000)/SUM('Population Figures'!$O12)</f>
        <v>0</v>
      </c>
      <c r="AA10" s="7">
        <f>(M10*1000)/SUM('Population Figures'!$O12)</f>
        <v>34.681923518188498</v>
      </c>
    </row>
    <row r="11" spans="1:27">
      <c r="A11" s="7" t="s">
        <v>39</v>
      </c>
      <c r="B11" s="8">
        <f t="shared" ref="B11:M11" si="8">B53*$F$39</f>
        <v>53523.399812213109</v>
      </c>
      <c r="C11" s="7">
        <f t="shared" si="8"/>
        <v>1361.0015301154544</v>
      </c>
      <c r="D11" s="8">
        <f t="shared" si="8"/>
        <v>0</v>
      </c>
      <c r="E11" s="8">
        <f t="shared" si="8"/>
        <v>9554.9918277924626</v>
      </c>
      <c r="F11" s="7">
        <f t="shared" si="8"/>
        <v>23581.366149673115</v>
      </c>
      <c r="G11" s="8">
        <f t="shared" si="8"/>
        <v>3356.614793434414</v>
      </c>
      <c r="H11" s="8">
        <f t="shared" si="8"/>
        <v>11146.557761858396</v>
      </c>
      <c r="I11" s="8">
        <f t="shared" si="8"/>
        <v>3722.6078035888168</v>
      </c>
      <c r="J11" s="8">
        <f t="shared" si="8"/>
        <v>590.96119070802627</v>
      </c>
      <c r="K11" s="7">
        <f t="shared" si="8"/>
        <v>0</v>
      </c>
      <c r="L11" s="7">
        <f t="shared" si="8"/>
        <v>0</v>
      </c>
      <c r="M11" s="7">
        <f t="shared" si="8"/>
        <v>209.29875504242597</v>
      </c>
      <c r="O11" s="7" t="s">
        <v>39</v>
      </c>
      <c r="P11" s="8">
        <f>(B11*1000)/SUM('Population Figures'!$N13:$P13)</f>
        <v>510.47591618705871</v>
      </c>
      <c r="Q11" s="7">
        <f>(C11*1000)/SUM('Population Figures'!$N13:$P13)</f>
        <v>12.980462852794034</v>
      </c>
      <c r="R11" s="8">
        <f>(D11*1000)/SUM('Population Figures'!$N13)</f>
        <v>0</v>
      </c>
      <c r="S11" s="8">
        <f>(E11*1000)/SUM('Population Figures'!$N13)</f>
        <v>424.30799892501716</v>
      </c>
      <c r="T11" s="7">
        <f>(F11*1000)/SUM('Population Figures'!$P13)</f>
        <v>1261.5078451652016</v>
      </c>
      <c r="U11" s="8">
        <f>(G11*1000)/SUM('Population Figures'!$O13)</f>
        <v>52.745447585317173</v>
      </c>
      <c r="V11" s="8">
        <f>(H11*1000)/SUM('Population Figures'!$O13)</f>
        <v>175.15568939719029</v>
      </c>
      <c r="W11" s="8">
        <f>(I11*1000)/SUM('Population Figures'!$O13)</f>
        <v>58.496618429064661</v>
      </c>
      <c r="X11" s="8">
        <f>(J11*1000)/SUM('Population Figures'!$O13)</f>
        <v>9.2862942064179617</v>
      </c>
      <c r="Y11" s="7">
        <f>(K11*1000)/SUM('Population Figures'!$O13)</f>
        <v>0</v>
      </c>
      <c r="Z11" s="7">
        <f>(L11*1000)/SUM('Population Figures'!$O13)</f>
        <v>0</v>
      </c>
      <c r="AA11" s="7">
        <f>(M11*1000)/SUM('Population Figures'!$O13)</f>
        <v>3.288895864773028</v>
      </c>
    </row>
    <row r="12" spans="1:27">
      <c r="A12" s="7" t="s">
        <v>40</v>
      </c>
      <c r="B12" s="8">
        <f t="shared" ref="B12:M12" si="9">B54*$F$39</f>
        <v>64415.889031854233</v>
      </c>
      <c r="C12" s="7">
        <f t="shared" si="9"/>
        <v>1105.8137432188066</v>
      </c>
      <c r="D12" s="8">
        <f t="shared" si="9"/>
        <v>50.366010571706781</v>
      </c>
      <c r="E12" s="8">
        <f t="shared" si="9"/>
        <v>10584.696932814022</v>
      </c>
      <c r="F12" s="7">
        <f t="shared" si="9"/>
        <v>28995.152663791909</v>
      </c>
      <c r="G12" s="8">
        <f t="shared" si="9"/>
        <v>4645.984664070108</v>
      </c>
      <c r="H12" s="8">
        <f t="shared" si="9"/>
        <v>14742.690916678261</v>
      </c>
      <c r="I12" s="8">
        <f t="shared" si="9"/>
        <v>2320.1942203366257</v>
      </c>
      <c r="J12" s="8">
        <f t="shared" si="9"/>
        <v>939.04628599248872</v>
      </c>
      <c r="K12" s="7">
        <f t="shared" si="9"/>
        <v>0</v>
      </c>
      <c r="L12" s="7">
        <f t="shared" si="9"/>
        <v>0</v>
      </c>
      <c r="M12" s="7">
        <f t="shared" si="9"/>
        <v>1031.9435943803035</v>
      </c>
      <c r="O12" s="7" t="s">
        <v>40</v>
      </c>
      <c r="P12" s="8">
        <f>(B12*1000)/SUM('Population Figures'!$N14:$P14)</f>
        <v>682.08268775788054</v>
      </c>
      <c r="Q12" s="7">
        <f>(C12*1000)/SUM('Population Figures'!$N14:$P14)</f>
        <v>11.709167124299096</v>
      </c>
      <c r="R12" s="8">
        <f>(D12*1000)/SUM('Population Figures'!$N14)</f>
        <v>2.3713927478556798</v>
      </c>
      <c r="S12" s="8">
        <f>(E12*1000)/SUM('Population Figures'!$N14)</f>
        <v>498.36136036602585</v>
      </c>
      <c r="T12" s="7">
        <f>(F12*1000)/SUM('Population Figures'!$P14)</f>
        <v>1739.9875578367685</v>
      </c>
      <c r="U12" s="8">
        <f>(G12*1000)/SUM('Population Figures'!$O14)</f>
        <v>82.176002689744905</v>
      </c>
      <c r="V12" s="8">
        <f>(H12*1000)/SUM('Population Figures'!$O14)</f>
        <v>260.76181821954225</v>
      </c>
      <c r="W12" s="8">
        <f>(I12*1000)/SUM('Population Figures'!$O14)</f>
        <v>41.038509654502818</v>
      </c>
      <c r="X12" s="8">
        <f>(J12*1000)/SUM('Population Figures'!$O14)</f>
        <v>16.609411288050104</v>
      </c>
      <c r="Y12" s="7">
        <f>(K12*1000)/SUM('Population Figures'!$O14)</f>
        <v>0</v>
      </c>
      <c r="Z12" s="7">
        <f>(L12*1000)/SUM('Population Figures'!$O14)</f>
        <v>0</v>
      </c>
      <c r="AA12" s="7">
        <f>(M12*1000)/SUM('Population Figures'!$O14)</f>
        <v>18.252535408322046</v>
      </c>
    </row>
    <row r="13" spans="1:27">
      <c r="A13" s="7" t="s">
        <v>41</v>
      </c>
      <c r="B13" s="8">
        <f t="shared" ref="B13:M13" si="10">B55*$F$39</f>
        <v>48937.854360829049</v>
      </c>
      <c r="C13" s="7">
        <f t="shared" si="10"/>
        <v>1756.0949019335098</v>
      </c>
      <c r="D13" s="8">
        <f t="shared" si="10"/>
        <v>0</v>
      </c>
      <c r="E13" s="8">
        <f t="shared" si="10"/>
        <v>6309.1822576158029</v>
      </c>
      <c r="F13" s="7">
        <f t="shared" si="10"/>
        <v>19104.387432188068</v>
      </c>
      <c r="G13" s="8">
        <f t="shared" si="10"/>
        <v>8491.7093823897631</v>
      </c>
      <c r="H13" s="8">
        <f t="shared" si="10"/>
        <v>9084.9090624565324</v>
      </c>
      <c r="I13" s="8">
        <f t="shared" si="10"/>
        <v>1110.2907219362917</v>
      </c>
      <c r="J13" s="8">
        <f t="shared" si="10"/>
        <v>1544.5576575323414</v>
      </c>
      <c r="K13" s="7">
        <f t="shared" si="10"/>
        <v>0</v>
      </c>
      <c r="L13" s="7">
        <f t="shared" si="10"/>
        <v>8.9539574349700946</v>
      </c>
      <c r="M13" s="7">
        <f t="shared" si="10"/>
        <v>1527.7689873417723</v>
      </c>
      <c r="O13" s="7" t="s">
        <v>41</v>
      </c>
      <c r="P13" s="8">
        <f>(B13*1000)/SUM('Population Figures'!$N15:$P15)</f>
        <v>548.26186825934406</v>
      </c>
      <c r="Q13" s="7">
        <f>(C13*1000)/SUM('Population Figures'!$N15:$P15)</f>
        <v>19.673928993205354</v>
      </c>
      <c r="R13" s="8">
        <f>(D13*1000)/SUM('Population Figures'!$N15)</f>
        <v>0</v>
      </c>
      <c r="S13" s="8">
        <f>(E13*1000)/SUM('Population Figures'!$N15)</f>
        <v>306.79223231781197</v>
      </c>
      <c r="T13" s="7">
        <f>(F13*1000)/SUM('Population Figures'!$P15)</f>
        <v>1244.0992076183945</v>
      </c>
      <c r="U13" s="8">
        <f>(G13*1000)/SUM('Population Figures'!$O15)</f>
        <v>159.20263563977133</v>
      </c>
      <c r="V13" s="8">
        <f>(H13*1000)/SUM('Population Figures'!$O15)</f>
        <v>170.32394800158482</v>
      </c>
      <c r="W13" s="8">
        <f>(I13*1000)/SUM('Population Figures'!$O15)</f>
        <v>20.815739363998045</v>
      </c>
      <c r="X13" s="8">
        <f>(J13*1000)/SUM('Population Figures'!$O15)</f>
        <v>28.957379357174698</v>
      </c>
      <c r="Y13" s="7">
        <f>(K13*1000)/SUM('Population Figures'!$O15)</f>
        <v>0</v>
      </c>
      <c r="Z13" s="7">
        <f>(L13*1000)/SUM('Population Figures'!$O15)</f>
        <v>0.1678688658386939</v>
      </c>
      <c r="AA13" s="7">
        <f>(M13*1000)/SUM('Population Figures'!$O15)</f>
        <v>28.642625233727149</v>
      </c>
    </row>
    <row r="14" spans="1:27">
      <c r="A14" s="7" t="s">
        <v>140</v>
      </c>
      <c r="B14" s="8">
        <f t="shared" ref="B14:M14" si="11">B56*$F$39</f>
        <v>330256.64678675757</v>
      </c>
      <c r="C14" s="7">
        <f t="shared" si="11"/>
        <v>1206.5457643622203</v>
      </c>
      <c r="D14" s="8">
        <f t="shared" si="11"/>
        <v>214.89497843928228</v>
      </c>
      <c r="E14" s="8">
        <f t="shared" si="11"/>
        <v>86768.324523577699</v>
      </c>
      <c r="F14" s="7">
        <f t="shared" si="11"/>
        <v>140636.45169703715</v>
      </c>
      <c r="G14" s="8">
        <f t="shared" si="11"/>
        <v>20711.6227917652</v>
      </c>
      <c r="H14" s="8">
        <f t="shared" si="11"/>
        <v>44833.584121574633</v>
      </c>
      <c r="I14" s="8">
        <f t="shared" si="11"/>
        <v>14456.164278759217</v>
      </c>
      <c r="J14" s="8">
        <f t="shared" si="11"/>
        <v>4283.3493879538191</v>
      </c>
      <c r="K14" s="7">
        <f t="shared" si="11"/>
        <v>1779.5990402003063</v>
      </c>
      <c r="L14" s="7">
        <f t="shared" si="11"/>
        <v>360.39678675754629</v>
      </c>
      <c r="M14" s="7">
        <f t="shared" si="11"/>
        <v>15005.713416330507</v>
      </c>
      <c r="O14" s="7" t="s">
        <v>140</v>
      </c>
      <c r="P14" s="8">
        <f>(B14*1000)/SUM('Population Figures'!$N16:$P16)</f>
        <v>705.57106156505995</v>
      </c>
      <c r="Q14" s="7">
        <f>(C14*1000)/SUM('Population Figures'!$N16:$P16)</f>
        <v>2.5777036861200684</v>
      </c>
      <c r="R14" s="8">
        <f>(D14*1000)/SUM('Population Figures'!$N16)</f>
        <v>2.68062493375349</v>
      </c>
      <c r="S14" s="8">
        <f>(E14*1000)/SUM('Population Figures'!$N16)</f>
        <v>1082.3581633557581</v>
      </c>
      <c r="T14" s="7">
        <f>(F14*1000)/SUM('Population Figures'!$P16)</f>
        <v>2056.9304934335278</v>
      </c>
      <c r="U14" s="8">
        <f>(G14*1000)/SUM('Population Figures'!$O16)</f>
        <v>64.818618453754866</v>
      </c>
      <c r="V14" s="8">
        <f>(H14*1000)/SUM('Population Figures'!$O16)</f>
        <v>140.31015398011664</v>
      </c>
      <c r="W14" s="8">
        <f>(I14*1000)/SUM('Population Figures'!$O16)</f>
        <v>45.241679327138492</v>
      </c>
      <c r="X14" s="8">
        <f>(J14*1000)/SUM('Population Figures'!$O16)</f>
        <v>13.405071754797074</v>
      </c>
      <c r="Y14" s="7">
        <f>(K14*1000)/SUM('Population Figures'!$O16)</f>
        <v>5.569392236772237</v>
      </c>
      <c r="Z14" s="7">
        <f>(L14*1000)/SUM('Population Figures'!$O16)</f>
        <v>1.1278894970067046</v>
      </c>
      <c r="AA14" s="7">
        <f>(M14*1000)/SUM('Population Figures'!$O16)</f>
        <v>46.961535671953065</v>
      </c>
    </row>
    <row r="15" spans="1:27">
      <c r="A15" s="7" t="s">
        <v>42</v>
      </c>
      <c r="B15" s="8">
        <f t="shared" ref="B15:M15" si="12">B57*$F$39</f>
        <v>25899.321880650998</v>
      </c>
      <c r="C15" s="7">
        <f t="shared" si="12"/>
        <v>349.20433996383366</v>
      </c>
      <c r="D15" s="8">
        <f t="shared" si="12"/>
        <v>51.485255251078044</v>
      </c>
      <c r="E15" s="8">
        <f t="shared" si="12"/>
        <v>3179.774134093755</v>
      </c>
      <c r="F15" s="7">
        <f t="shared" si="12"/>
        <v>16073.472840450691</v>
      </c>
      <c r="G15" s="8">
        <f t="shared" si="12"/>
        <v>1252.434796216442</v>
      </c>
      <c r="H15" s="8">
        <f t="shared" si="12"/>
        <v>3598.3716441786069</v>
      </c>
      <c r="I15" s="8">
        <f t="shared" si="12"/>
        <v>993.88927528168051</v>
      </c>
      <c r="J15" s="8">
        <f t="shared" si="12"/>
        <v>117.5206913339825</v>
      </c>
      <c r="K15" s="7">
        <f t="shared" si="12"/>
        <v>0</v>
      </c>
      <c r="L15" s="7">
        <f t="shared" si="12"/>
        <v>0</v>
      </c>
      <c r="M15" s="7">
        <f t="shared" si="12"/>
        <v>283.16890388092924</v>
      </c>
      <c r="O15" s="7" t="s">
        <v>42</v>
      </c>
      <c r="P15" s="8">
        <f>(B15*1000)/SUM('Population Figures'!$N17:$P17)</f>
        <v>984.76509051904929</v>
      </c>
      <c r="Q15" s="7">
        <f>(C15*1000)/SUM('Population Figures'!$N17:$P17)</f>
        <v>13.277731557560216</v>
      </c>
      <c r="R15" s="8">
        <f>(D15*1000)/SUM('Population Figures'!$N17)</f>
        <v>9.7050434026537307</v>
      </c>
      <c r="S15" s="8">
        <f>(E15*1000)/SUM('Population Figures'!$N17)</f>
        <v>599.39191971607067</v>
      </c>
      <c r="T15" s="7">
        <f>(F15*1000)/SUM('Population Figures'!$P17)</f>
        <v>2955.7691872840551</v>
      </c>
      <c r="U15" s="8">
        <f>(G15*1000)/SUM('Population Figures'!$O17)</f>
        <v>80.506189896280901</v>
      </c>
      <c r="V15" s="8">
        <f>(H15*1000)/SUM('Population Figures'!$O17)</f>
        <v>231.30241333024406</v>
      </c>
      <c r="W15" s="8">
        <f>(I15*1000)/SUM('Population Figures'!$O17)</f>
        <v>63.88694962278592</v>
      </c>
      <c r="X15" s="8">
        <f>(J15*1000)/SUM('Population Figures'!$O17)</f>
        <v>7.5542001243159023</v>
      </c>
      <c r="Y15" s="7">
        <f>(K15*1000)/SUM('Population Figures'!$O17)</f>
        <v>0</v>
      </c>
      <c r="Z15" s="7">
        <f>(L15*1000)/SUM('Population Figures'!$O17)</f>
        <v>0</v>
      </c>
      <c r="AA15" s="7">
        <f>(M15*1000)/SUM('Population Figures'!$O17)</f>
        <v>18.202025061446886</v>
      </c>
    </row>
    <row r="16" spans="1:27">
      <c r="A16" s="7" t="s">
        <v>43</v>
      </c>
      <c r="B16" s="8">
        <f t="shared" ref="B16:M16" si="13">B58*$F$39</f>
        <v>97815.269508972051</v>
      </c>
      <c r="C16" s="7">
        <f t="shared" si="13"/>
        <v>261.90325497287529</v>
      </c>
      <c r="D16" s="8">
        <f t="shared" si="13"/>
        <v>55.962233968563091</v>
      </c>
      <c r="E16" s="8">
        <f t="shared" si="13"/>
        <v>23891.396925858953</v>
      </c>
      <c r="F16" s="7">
        <f t="shared" si="13"/>
        <v>45849.858290443743</v>
      </c>
      <c r="G16" s="8">
        <f t="shared" si="13"/>
        <v>7297.4753095006272</v>
      </c>
      <c r="H16" s="8">
        <f t="shared" si="13"/>
        <v>13428.6976630964</v>
      </c>
      <c r="I16" s="8">
        <f t="shared" si="13"/>
        <v>3744.992697176242</v>
      </c>
      <c r="J16" s="8">
        <f t="shared" si="13"/>
        <v>149.97878703574909</v>
      </c>
      <c r="K16" s="7">
        <f t="shared" si="13"/>
        <v>2.2384893587425236</v>
      </c>
      <c r="L16" s="7">
        <f t="shared" si="13"/>
        <v>0</v>
      </c>
      <c r="M16" s="7">
        <f t="shared" si="13"/>
        <v>3132.7658575601617</v>
      </c>
      <c r="O16" s="7" t="s">
        <v>43</v>
      </c>
      <c r="P16" s="8">
        <f>(B16*1000)/SUM('Population Figures'!$N18:$P18)</f>
        <v>648.98666075485698</v>
      </c>
      <c r="Q16" s="7">
        <f>(C16*1000)/SUM('Population Figures'!$N18:$P18)</f>
        <v>1.7376808318264019</v>
      </c>
      <c r="R16" s="8">
        <f>(D16*1000)/SUM('Population Figures'!$N18)</f>
        <v>1.7410395410684472</v>
      </c>
      <c r="S16" s="8">
        <f>(E16*1000)/SUM('Population Figures'!$N18)</f>
        <v>743.28460087294127</v>
      </c>
      <c r="T16" s="7">
        <f>(F16*1000)/SUM('Population Figures'!$P18)</f>
        <v>1923.1516417282724</v>
      </c>
      <c r="U16" s="8">
        <f>(G16*1000)/SUM('Population Figures'!$O18)</f>
        <v>77.029590752202196</v>
      </c>
      <c r="V16" s="8">
        <f>(H16*1000)/SUM('Population Figures'!$O18)</f>
        <v>141.74862420934386</v>
      </c>
      <c r="W16" s="8">
        <f>(I16*1000)/SUM('Population Figures'!$O18)</f>
        <v>39.530829855347939</v>
      </c>
      <c r="X16" s="8">
        <f>(J16*1000)/SUM('Population Figures'!$O18)</f>
        <v>1.5831234909194931</v>
      </c>
      <c r="Y16" s="7">
        <f>(K16*1000)/SUM('Population Figures'!$O18)</f>
        <v>2.3628708819693922E-2</v>
      </c>
      <c r="Z16" s="7">
        <f>(L16*1000)/SUM('Population Figures'!$O18)</f>
        <v>0</v>
      </c>
      <c r="AA16" s="7">
        <f>(M16*1000)/SUM('Population Figures'!$O18)</f>
        <v>33.068377993161647</v>
      </c>
    </row>
    <row r="17" spans="1:27">
      <c r="A17" s="7" t="s">
        <v>44</v>
      </c>
      <c r="B17" s="8">
        <f t="shared" ref="B17:M17" si="14">B59*$F$39</f>
        <v>223822.07400194745</v>
      </c>
      <c r="C17" s="7">
        <f t="shared" si="14"/>
        <v>818.16786062039239</v>
      </c>
      <c r="D17" s="8">
        <f t="shared" si="14"/>
        <v>216.01422311865352</v>
      </c>
      <c r="E17" s="8">
        <f t="shared" si="14"/>
        <v>40838.999860898599</v>
      </c>
      <c r="F17" s="7">
        <f t="shared" si="14"/>
        <v>104269.95357490612</v>
      </c>
      <c r="G17" s="8">
        <f t="shared" si="14"/>
        <v>19427.849144526364</v>
      </c>
      <c r="H17" s="8">
        <f t="shared" si="14"/>
        <v>41638.140561969682</v>
      </c>
      <c r="I17" s="8">
        <f t="shared" si="14"/>
        <v>8562.2217971901537</v>
      </c>
      <c r="J17" s="8">
        <f t="shared" si="14"/>
        <v>920.01912644317724</v>
      </c>
      <c r="K17" s="7">
        <f t="shared" si="14"/>
        <v>111.92446793712618</v>
      </c>
      <c r="L17" s="7">
        <f t="shared" si="14"/>
        <v>0</v>
      </c>
      <c r="M17" s="7">
        <f t="shared" si="14"/>
        <v>7018.7833843371827</v>
      </c>
      <c r="O17" s="7" t="s">
        <v>44</v>
      </c>
      <c r="P17" s="8">
        <f>(B17*1000)/SUM('Population Figures'!$N19:$P19)</f>
        <v>620.86566990831466</v>
      </c>
      <c r="Q17" s="7">
        <f>(C17*1000)/SUM('Population Figures'!$N19:$P19)</f>
        <v>2.2695363678790357</v>
      </c>
      <c r="R17" s="8">
        <f>(D17*1000)/SUM('Population Figures'!$N19)</f>
        <v>2.9080291742098154</v>
      </c>
      <c r="S17" s="8">
        <f>(E17*1000)/SUM('Population Figures'!$N19)</f>
        <v>549.7832565210764</v>
      </c>
      <c r="T17" s="7">
        <f>(F17*1000)/SUM('Population Figures'!$P19)</f>
        <v>1719.1794624145705</v>
      </c>
      <c r="U17" s="8">
        <f>(G17*1000)/SUM('Population Figures'!$O19)</f>
        <v>86.128951240768231</v>
      </c>
      <c r="V17" s="8">
        <f>(H17*1000)/SUM('Population Figures'!$O19)</f>
        <v>184.59322756418129</v>
      </c>
      <c r="W17" s="8">
        <f>(I17*1000)/SUM('Population Figures'!$O19)</f>
        <v>37.958663267189586</v>
      </c>
      <c r="X17" s="8">
        <f>(J17*1000)/SUM('Population Figures'!$O19)</f>
        <v>4.0786955824352731</v>
      </c>
      <c r="Y17" s="7">
        <f>(K17*1000)/SUM('Population Figures'!$O19)</f>
        <v>0.49619167669528869</v>
      </c>
      <c r="Z17" s="7">
        <f>(L17*1000)/SUM('Population Figures'!$O19)</f>
        <v>0</v>
      </c>
      <c r="AA17" s="7">
        <f>(M17*1000)/SUM('Population Figures'!$O19)</f>
        <v>31.116180045561553</v>
      </c>
    </row>
    <row r="18" spans="1:27">
      <c r="A18" s="7" t="s">
        <v>45</v>
      </c>
      <c r="B18" s="8">
        <f t="shared" ref="B18:M18" si="15">B60*$F$39</f>
        <v>555291.98202114354</v>
      </c>
      <c r="C18" s="7">
        <f t="shared" si="15"/>
        <v>3518.905271943247</v>
      </c>
      <c r="D18" s="8">
        <f t="shared" si="15"/>
        <v>364.87376547503135</v>
      </c>
      <c r="E18" s="8">
        <f t="shared" si="15"/>
        <v>142517.90200306024</v>
      </c>
      <c r="F18" s="7">
        <f t="shared" si="15"/>
        <v>237388.43876060651</v>
      </c>
      <c r="G18" s="8">
        <f t="shared" si="15"/>
        <v>36488.495792182504</v>
      </c>
      <c r="H18" s="8">
        <f t="shared" si="15"/>
        <v>66321.962720823489</v>
      </c>
      <c r="I18" s="8">
        <f t="shared" si="15"/>
        <v>27385.678814856034</v>
      </c>
      <c r="J18" s="8">
        <f t="shared" si="15"/>
        <v>19381.960112672143</v>
      </c>
      <c r="K18" s="7">
        <f t="shared" si="15"/>
        <v>53.723744609820571</v>
      </c>
      <c r="L18" s="7">
        <f t="shared" si="15"/>
        <v>2982.7870705244127</v>
      </c>
      <c r="M18" s="7">
        <f t="shared" si="15"/>
        <v>18887.253964390042</v>
      </c>
      <c r="O18" s="7" t="s">
        <v>45</v>
      </c>
      <c r="P18" s="8">
        <f>(B18*1000)/SUM('Population Figures'!$N20:$P20)</f>
        <v>954.20830673461796</v>
      </c>
      <c r="Q18" s="7">
        <f>(C18*1000)/SUM('Population Figures'!$N20:$P20)</f>
        <v>6.0468523764361395</v>
      </c>
      <c r="R18" s="8">
        <f>(D18*1000)/SUM('Population Figures'!$N20)</f>
        <v>3.2987113892382434</v>
      </c>
      <c r="S18" s="8">
        <f>(E18*1000)/SUM('Population Figures'!$N20)</f>
        <v>1288.4604786419095</v>
      </c>
      <c r="T18" s="7">
        <f>(F18*1000)/SUM('Population Figures'!$P20)</f>
        <v>2851.3757748649496</v>
      </c>
      <c r="U18" s="8">
        <f>(G18*1000)/SUM('Population Figures'!$O20)</f>
        <v>94.024340120292479</v>
      </c>
      <c r="V18" s="8">
        <f>(H18*1000)/SUM('Population Figures'!$O20)</f>
        <v>170.89985884384072</v>
      </c>
      <c r="W18" s="8">
        <f>(I18*1000)/SUM('Population Figures'!$O20)</f>
        <v>70.56800570728862</v>
      </c>
      <c r="X18" s="8">
        <f>(J18*1000)/SUM('Population Figures'!$O20)</f>
        <v>49.943851350053833</v>
      </c>
      <c r="Y18" s="7">
        <f>(K18*1000)/SUM('Population Figures'!$O20)</f>
        <v>0.13843649967099289</v>
      </c>
      <c r="Z18" s="7">
        <f>(L18*1000)/SUM('Population Figures'!$O20)</f>
        <v>7.6861098254832507</v>
      </c>
      <c r="AA18" s="7">
        <f>(M18*1000)/SUM('Population Figures'!$O20)</f>
        <v>48.66908191558344</v>
      </c>
    </row>
    <row r="19" spans="1:27">
      <c r="A19" s="7" t="s">
        <v>46</v>
      </c>
      <c r="B19" s="8">
        <f t="shared" ref="B19:M19" si="16">B61*$F$39</f>
        <v>150569.7482264571</v>
      </c>
      <c r="C19" s="7">
        <f t="shared" si="16"/>
        <v>447.69787174850472</v>
      </c>
      <c r="D19" s="8">
        <f t="shared" si="16"/>
        <v>171.24443594380307</v>
      </c>
      <c r="E19" s="8">
        <f t="shared" si="16"/>
        <v>26479.090624565313</v>
      </c>
      <c r="F19" s="7">
        <f t="shared" si="16"/>
        <v>76811.523855890962</v>
      </c>
      <c r="G19" s="8">
        <f t="shared" si="16"/>
        <v>8492.8286270691351</v>
      </c>
      <c r="H19" s="8">
        <f t="shared" si="16"/>
        <v>24962.514084017253</v>
      </c>
      <c r="I19" s="8">
        <f t="shared" si="16"/>
        <v>8274.5759145917382</v>
      </c>
      <c r="J19" s="8">
        <f t="shared" si="16"/>
        <v>1249.0770621783281</v>
      </c>
      <c r="K19" s="7">
        <f t="shared" si="16"/>
        <v>0</v>
      </c>
      <c r="L19" s="7">
        <f t="shared" si="16"/>
        <v>0</v>
      </c>
      <c r="M19" s="7">
        <f t="shared" si="16"/>
        <v>3681.1957504520801</v>
      </c>
      <c r="O19" s="7" t="s">
        <v>46</v>
      </c>
      <c r="P19" s="8">
        <f>(B19*1000)/SUM('Population Figures'!$N21:$P21)</f>
        <v>692.46572951829046</v>
      </c>
      <c r="Q19" s="7">
        <f>(C19*1000)/SUM('Population Figures'!$N21:$P21)</f>
        <v>2.0589490054658977</v>
      </c>
      <c r="R19" s="8">
        <f>(D19*1000)/SUM('Population Figures'!$N21)</f>
        <v>3.8298578924206179</v>
      </c>
      <c r="S19" s="8">
        <f>(E19*1000)/SUM('Population Figures'!$N21)</f>
        <v>592.20116352213711</v>
      </c>
      <c r="T19" s="7">
        <f>(F19*1000)/SUM('Population Figures'!$P21)</f>
        <v>1978.3017965820425</v>
      </c>
      <c r="U19" s="8">
        <f>(G19*1000)/SUM('Population Figures'!$O21)</f>
        <v>63.426651434422212</v>
      </c>
      <c r="V19" s="8">
        <f>(H19*1000)/SUM('Population Figures'!$O21)</f>
        <v>186.42654282313111</v>
      </c>
      <c r="W19" s="8">
        <f>(I19*1000)/SUM('Population Figures'!$O21)</f>
        <v>61.796683454755325</v>
      </c>
      <c r="X19" s="8">
        <f>(J19*1000)/SUM('Population Figures'!$O21)</f>
        <v>9.3284321297858721</v>
      </c>
      <c r="Y19" s="7">
        <f>(K19*1000)/SUM('Population Figures'!$O21)</f>
        <v>0</v>
      </c>
      <c r="Z19" s="7">
        <f>(L19*1000)/SUM('Population Figures'!$O21)</f>
        <v>0</v>
      </c>
      <c r="AA19" s="7">
        <f>(M19*1000)/SUM('Population Figures'!$O21)</f>
        <v>27.492126590381481</v>
      </c>
    </row>
    <row r="20" spans="1:27">
      <c r="A20" s="7" t="s">
        <v>47</v>
      </c>
      <c r="B20" s="8">
        <f t="shared" ref="B20:M20" si="17">B62*$F$39</f>
        <v>65435.520934761451</v>
      </c>
      <c r="C20" s="7">
        <f t="shared" si="17"/>
        <v>336.89264849074982</v>
      </c>
      <c r="D20" s="8">
        <f t="shared" si="17"/>
        <v>27.981116984281545</v>
      </c>
      <c r="E20" s="8">
        <f t="shared" si="17"/>
        <v>14746.048650716375</v>
      </c>
      <c r="F20" s="7">
        <f t="shared" si="17"/>
        <v>31919.739010989015</v>
      </c>
      <c r="G20" s="8">
        <f t="shared" si="17"/>
        <v>3469.6585060509115</v>
      </c>
      <c r="H20" s="8">
        <f t="shared" si="17"/>
        <v>8636.0919460286568</v>
      </c>
      <c r="I20" s="8">
        <f t="shared" si="17"/>
        <v>2952.5674641813885</v>
      </c>
      <c r="J20" s="8">
        <f t="shared" si="17"/>
        <v>1012.916434830992</v>
      </c>
      <c r="K20" s="7">
        <f t="shared" si="17"/>
        <v>0</v>
      </c>
      <c r="L20" s="7">
        <f t="shared" si="17"/>
        <v>0</v>
      </c>
      <c r="M20" s="7">
        <f t="shared" si="17"/>
        <v>2333.6251564890808</v>
      </c>
      <c r="O20" s="7" t="s">
        <v>47</v>
      </c>
      <c r="P20" s="8">
        <f>(B20*1000)/SUM('Population Figures'!$N22:$P22)</f>
        <v>807.0488521800869</v>
      </c>
      <c r="Q20" s="7">
        <f>(C20*1000)/SUM('Population Figures'!$N22:$P22)</f>
        <v>4.1550647322490111</v>
      </c>
      <c r="R20" s="8">
        <f>(D20*1000)/SUM('Population Figures'!$N22)</f>
        <v>1.6866254963400571</v>
      </c>
      <c r="S20" s="8">
        <f>(E20*1000)/SUM('Population Figures'!$N22)</f>
        <v>888.85163657121007</v>
      </c>
      <c r="T20" s="7">
        <f>(F20*1000)/SUM('Population Figures'!$P22)</f>
        <v>2261.565751097422</v>
      </c>
      <c r="U20" s="8">
        <f>(G20*1000)/SUM('Population Figures'!$O22)</f>
        <v>68.875228403424472</v>
      </c>
      <c r="V20" s="8">
        <f>(H20*1000)/SUM('Population Figures'!$O22)</f>
        <v>171.43266527768495</v>
      </c>
      <c r="W20" s="8">
        <f>(I20*1000)/SUM('Population Figures'!$O22)</f>
        <v>58.610597589752821</v>
      </c>
      <c r="X20" s="8">
        <f>(J20*1000)/SUM('Population Figures'!$O22)</f>
        <v>20.107123130677149</v>
      </c>
      <c r="Y20" s="7">
        <f>(K20*1000)/SUM('Population Figures'!$O22)</f>
        <v>0</v>
      </c>
      <c r="Z20" s="7">
        <f>(L20*1000)/SUM('Population Figures'!$O22)</f>
        <v>0</v>
      </c>
      <c r="AA20" s="7">
        <f>(M20*1000)/SUM('Population Figures'!$O22)</f>
        <v>46.324145555206464</v>
      </c>
    </row>
    <row r="21" spans="1:27">
      <c r="A21" s="7" t="s">
        <v>48</v>
      </c>
      <c r="B21" s="8">
        <f t="shared" ref="B21:M21" si="18">B63*$F$39</f>
        <v>54761.284427597726</v>
      </c>
      <c r="C21" s="7">
        <f t="shared" si="18"/>
        <v>1038.659062456531</v>
      </c>
      <c r="D21" s="8">
        <f t="shared" si="18"/>
        <v>52.604499930449307</v>
      </c>
      <c r="E21" s="8">
        <f t="shared" si="18"/>
        <v>12649.703366254002</v>
      </c>
      <c r="F21" s="7">
        <f t="shared" si="18"/>
        <v>23280.289330922245</v>
      </c>
      <c r="G21" s="8">
        <f t="shared" si="18"/>
        <v>3306.2487828627072</v>
      </c>
      <c r="H21" s="8">
        <f t="shared" si="18"/>
        <v>10476.130198915011</v>
      </c>
      <c r="I21" s="8">
        <f t="shared" si="18"/>
        <v>2228.4161566281823</v>
      </c>
      <c r="J21" s="8">
        <f t="shared" si="18"/>
        <v>614.46532897482268</v>
      </c>
      <c r="K21" s="7">
        <f t="shared" si="18"/>
        <v>10.073202114341356</v>
      </c>
      <c r="L21" s="7">
        <f t="shared" si="18"/>
        <v>3.3577340381137857</v>
      </c>
      <c r="M21" s="7">
        <f t="shared" si="18"/>
        <v>1101.3367645013216</v>
      </c>
      <c r="O21" s="7" t="s">
        <v>48</v>
      </c>
      <c r="P21" s="8">
        <f>(B21*1000)/SUM('Population Figures'!$N23:$P23)</f>
        <v>688.73455449123037</v>
      </c>
      <c r="Q21" s="7">
        <f>(C21*1000)/SUM('Population Figures'!$N23:$P23)</f>
        <v>13.063250691190179</v>
      </c>
      <c r="R21" s="8">
        <f>(D21*1000)/SUM('Population Figures'!$N23)</f>
        <v>2.9819454640014347</v>
      </c>
      <c r="S21" s="8">
        <f>(E21*1000)/SUM('Population Figures'!$N23)</f>
        <v>717.06271562008965</v>
      </c>
      <c r="T21" s="7">
        <f>(F21*1000)/SUM('Population Figures'!$P23)</f>
        <v>1822.7598912403889</v>
      </c>
      <c r="U21" s="8">
        <f>(G21*1000)/SUM('Population Figures'!$O23)</f>
        <v>67.341156951803711</v>
      </c>
      <c r="V21" s="8">
        <f>(H21*1000)/SUM('Population Figures'!$O23)</f>
        <v>213.37617774843699</v>
      </c>
      <c r="W21" s="8">
        <f>(I21*1000)/SUM('Population Figures'!$O23)</f>
        <v>45.388030971916457</v>
      </c>
      <c r="X21" s="8">
        <f>(J21*1000)/SUM('Population Figures'!$O23)</f>
        <v>12.515333502552553</v>
      </c>
      <c r="Y21" s="7">
        <f>(K21*1000)/SUM('Population Figures'!$O23)</f>
        <v>0.20516940168118941</v>
      </c>
      <c r="Z21" s="7">
        <f>(L21*1000)/SUM('Population Figures'!$O23)</f>
        <v>6.8389800560396466E-2</v>
      </c>
      <c r="AA21" s="7">
        <f>(M21*1000)/SUM('Population Figures'!$O23)</f>
        <v>22.43185458381004</v>
      </c>
    </row>
    <row r="22" spans="1:27">
      <c r="A22" s="7" t="s">
        <v>49</v>
      </c>
      <c r="B22" s="8">
        <f t="shared" ref="B22:M22" si="19">B64*$F$39</f>
        <v>50436.522986507174</v>
      </c>
      <c r="C22" s="7">
        <f t="shared" si="19"/>
        <v>419.7167547642232</v>
      </c>
      <c r="D22" s="8">
        <f t="shared" si="19"/>
        <v>64.91619140353319</v>
      </c>
      <c r="E22" s="8">
        <f t="shared" si="19"/>
        <v>11890.855473640286</v>
      </c>
      <c r="F22" s="7">
        <f t="shared" si="19"/>
        <v>22363.627938517184</v>
      </c>
      <c r="G22" s="8">
        <f t="shared" si="19"/>
        <v>3499.8781123939357</v>
      </c>
      <c r="H22" s="8">
        <f t="shared" si="19"/>
        <v>8819.6480734455436</v>
      </c>
      <c r="I22" s="8">
        <f t="shared" si="19"/>
        <v>2457.8613158992907</v>
      </c>
      <c r="J22" s="8">
        <f t="shared" si="19"/>
        <v>305.5537974683545</v>
      </c>
      <c r="K22" s="7">
        <f t="shared" si="19"/>
        <v>0</v>
      </c>
      <c r="L22" s="7">
        <f t="shared" si="19"/>
        <v>0</v>
      </c>
      <c r="M22" s="7">
        <f t="shared" si="19"/>
        <v>614.46532897482268</v>
      </c>
      <c r="O22" s="7" t="s">
        <v>49</v>
      </c>
      <c r="P22" s="8">
        <f>(B22*1000)/SUM('Population Figures'!$N24:$P24)</f>
        <v>580.59770906535255</v>
      </c>
      <c r="Q22" s="7">
        <f>(C22*1000)/SUM('Population Figures'!$N24:$P24)</f>
        <v>4.831550072110316</v>
      </c>
      <c r="R22" s="8">
        <f>(D22*1000)/SUM('Population Figures'!$N24)</f>
        <v>3.5740897100442215</v>
      </c>
      <c r="S22" s="8">
        <f>(E22*1000)/SUM('Population Figures'!$N24)</f>
        <v>654.67463930189319</v>
      </c>
      <c r="T22" s="7">
        <f>(F22*1000)/SUM('Population Figures'!$P24)</f>
        <v>1437.3435271236701</v>
      </c>
      <c r="U22" s="8">
        <f>(G22*1000)/SUM('Population Figures'!$O24)</f>
        <v>65.851548739255207</v>
      </c>
      <c r="V22" s="8">
        <f>(H22*1000)/SUM('Population Figures'!$O24)</f>
        <v>165.94506046221014</v>
      </c>
      <c r="W22" s="8">
        <f>(I22*1000)/SUM('Population Figures'!$O24)</f>
        <v>46.245603144037226</v>
      </c>
      <c r="X22" s="8">
        <f>(J22*1000)/SUM('Population Figures'!$O24)</f>
        <v>5.7491118662669249</v>
      </c>
      <c r="Y22" s="7">
        <f>(K22*1000)/SUM('Population Figures'!$O24)</f>
        <v>0</v>
      </c>
      <c r="Z22" s="7">
        <f>(L22*1000)/SUM('Population Figures'!$O24)</f>
        <v>0</v>
      </c>
      <c r="AA22" s="7">
        <f>(M22*1000)/SUM('Population Figures'!$O24)</f>
        <v>11.561400786009306</v>
      </c>
    </row>
    <row r="23" spans="1:27">
      <c r="A23" s="7" t="s">
        <v>50</v>
      </c>
      <c r="B23" s="8">
        <f t="shared" ref="B23:M23" si="20">B65*$F$39</f>
        <v>89434.365349840053</v>
      </c>
      <c r="C23" s="7">
        <f t="shared" si="20"/>
        <v>780.11354152176943</v>
      </c>
      <c r="D23" s="8">
        <f t="shared" si="20"/>
        <v>210.41799972179723</v>
      </c>
      <c r="E23" s="8">
        <f t="shared" si="20"/>
        <v>21595.826088468497</v>
      </c>
      <c r="F23" s="7">
        <f t="shared" si="20"/>
        <v>40422.640840172491</v>
      </c>
      <c r="G23" s="8">
        <f t="shared" si="20"/>
        <v>4284.4686326331903</v>
      </c>
      <c r="H23" s="8">
        <f t="shared" si="20"/>
        <v>14973.255320628741</v>
      </c>
      <c r="I23" s="8">
        <f t="shared" si="20"/>
        <v>3094.711538461539</v>
      </c>
      <c r="J23" s="8">
        <f t="shared" si="20"/>
        <v>1425.9177215189875</v>
      </c>
      <c r="K23" s="7">
        <f t="shared" si="20"/>
        <v>0</v>
      </c>
      <c r="L23" s="7">
        <f t="shared" si="20"/>
        <v>0</v>
      </c>
      <c r="M23" s="7">
        <f t="shared" si="20"/>
        <v>2647.0136667130341</v>
      </c>
      <c r="O23" s="7" t="s">
        <v>50</v>
      </c>
      <c r="P23" s="8">
        <f>(B23*1000)/SUM('Population Figures'!$N25:$P25)</f>
        <v>658.76815961873945</v>
      </c>
      <c r="Q23" s="7">
        <f>(C23*1000)/SUM('Population Figures'!$N25:$P25)</f>
        <v>5.7462694572905821</v>
      </c>
      <c r="R23" s="8">
        <f>(D23*1000)/SUM('Population Figures'!$N25)</f>
        <v>7.34187019266564</v>
      </c>
      <c r="S23" s="8">
        <f>(E23*1000)/SUM('Population Figures'!$N25)</f>
        <v>753.51800727384841</v>
      </c>
      <c r="T23" s="7">
        <f>(F23*1000)/SUM('Population Figures'!$P25)</f>
        <v>1685.8923485078406</v>
      </c>
      <c r="U23" s="8">
        <f>(G23*1000)/SUM('Population Figures'!$O25)</f>
        <v>51.543719940728685</v>
      </c>
      <c r="V23" s="8">
        <f>(H23*1000)/SUM('Population Figures'!$O25)</f>
        <v>180.13372136025819</v>
      </c>
      <c r="W23" s="8">
        <f>(I23*1000)/SUM('Population Figures'!$O25)</f>
        <v>37.230508264397805</v>
      </c>
      <c r="X23" s="8">
        <f>(J23*1000)/SUM('Population Figures'!$O25)</f>
        <v>17.154310137013674</v>
      </c>
      <c r="Y23" s="7">
        <f>(K23*1000)/SUM('Population Figures'!$O25)</f>
        <v>0</v>
      </c>
      <c r="Z23" s="7">
        <f>(L23*1000)/SUM('Population Figures'!$O25)</f>
        <v>0</v>
      </c>
      <c r="AA23" s="7">
        <f>(M23*1000)/SUM('Population Figures'!$O25)</f>
        <v>31.84453961855364</v>
      </c>
    </row>
    <row r="24" spans="1:27">
      <c r="A24" s="7" t="s">
        <v>51</v>
      </c>
      <c r="B24" s="8">
        <f t="shared" ref="B24:M24" si="21">B66*$F$39</f>
        <v>206042.87227013495</v>
      </c>
      <c r="C24" s="7">
        <f t="shared" si="21"/>
        <v>881.96480734455429</v>
      </c>
      <c r="D24" s="8">
        <f t="shared" si="21"/>
        <v>68.273925441646966</v>
      </c>
      <c r="E24" s="8">
        <f t="shared" si="21"/>
        <v>30169.240332452362</v>
      </c>
      <c r="F24" s="7">
        <f t="shared" si="21"/>
        <v>101543.47353595773</v>
      </c>
      <c r="G24" s="8">
        <f t="shared" si="21"/>
        <v>6203.9732577549039</v>
      </c>
      <c r="H24" s="8">
        <f t="shared" si="21"/>
        <v>49824.296146891094</v>
      </c>
      <c r="I24" s="8">
        <f t="shared" si="21"/>
        <v>8399.9313186813197</v>
      </c>
      <c r="J24" s="8">
        <f t="shared" si="21"/>
        <v>2878.6973153428853</v>
      </c>
      <c r="K24" s="7">
        <f t="shared" si="21"/>
        <v>0</v>
      </c>
      <c r="L24" s="7">
        <f t="shared" si="21"/>
        <v>12.311691473083879</v>
      </c>
      <c r="M24" s="7">
        <f t="shared" si="21"/>
        <v>6060.7099387953831</v>
      </c>
      <c r="O24" s="7" t="s">
        <v>51</v>
      </c>
      <c r="P24" s="8">
        <f>(B24*1000)/SUM('Population Figures'!$N26:$P26)</f>
        <v>634.60290831013594</v>
      </c>
      <c r="Q24" s="7">
        <f>(C24*1000)/SUM('Population Figures'!$N26:$P26)</f>
        <v>2.7164124902813671</v>
      </c>
      <c r="R24" s="8">
        <f>(D24*1000)/SUM('Population Figures'!$N26)</f>
        <v>0.94868377786550728</v>
      </c>
      <c r="S24" s="8">
        <f>(E24*1000)/SUM('Population Figures'!$N26)</f>
        <v>419.20936446499593</v>
      </c>
      <c r="T24" s="7">
        <f>(F24*1000)/SUM('Population Figures'!$P26)</f>
        <v>2139.6041538160885</v>
      </c>
      <c r="U24" s="8">
        <f>(G24*1000)/SUM('Population Figures'!$O26)</f>
        <v>30.225833639075994</v>
      </c>
      <c r="V24" s="8">
        <f>(H24*1000)/SUM('Population Figures'!$O26)</f>
        <v>242.74458060203989</v>
      </c>
      <c r="W24" s="8">
        <f>(I24*1000)/SUM('Population Figures'!$O26)</f>
        <v>40.924568187130681</v>
      </c>
      <c r="X24" s="8">
        <f>(J24*1000)/SUM('Population Figures'!$O26)</f>
        <v>14.025048551272498</v>
      </c>
      <c r="Y24" s="7">
        <f>(K24*1000)/SUM('Population Figures'!$O26)</f>
        <v>0</v>
      </c>
      <c r="Z24" s="7">
        <f>(L24*1000)/SUM('Population Figures'!$O26)</f>
        <v>5.9982711533436033E-2</v>
      </c>
      <c r="AA24" s="7">
        <f>(M24*1000)/SUM('Population Figures'!$O26)</f>
        <v>29.527852995777831</v>
      </c>
    </row>
    <row r="25" spans="1:27">
      <c r="A25" s="7" t="s">
        <v>52</v>
      </c>
      <c r="B25" s="8">
        <f t="shared" ref="B25:M25" si="22">B67*$F$39</f>
        <v>18790.998921964114</v>
      </c>
      <c r="C25" s="7">
        <f t="shared" si="22"/>
        <v>990.53154124356672</v>
      </c>
      <c r="D25" s="8">
        <f t="shared" si="22"/>
        <v>71.631659479760756</v>
      </c>
      <c r="E25" s="8">
        <f t="shared" si="22"/>
        <v>2922.3478578383647</v>
      </c>
      <c r="F25" s="7">
        <f t="shared" si="22"/>
        <v>10844.361698428156</v>
      </c>
      <c r="G25" s="8">
        <f t="shared" si="22"/>
        <v>997.2470093197943</v>
      </c>
      <c r="H25" s="8">
        <f t="shared" si="22"/>
        <v>2075.0796355543193</v>
      </c>
      <c r="I25" s="8">
        <f t="shared" si="22"/>
        <v>826.00257337599123</v>
      </c>
      <c r="J25" s="8">
        <f t="shared" si="22"/>
        <v>59.319968006676874</v>
      </c>
      <c r="K25" s="7">
        <f t="shared" si="22"/>
        <v>0</v>
      </c>
      <c r="L25" s="7">
        <f t="shared" si="22"/>
        <v>0</v>
      </c>
      <c r="M25" s="7">
        <f t="shared" si="22"/>
        <v>4.4769787174850473</v>
      </c>
      <c r="O25" s="7" t="s">
        <v>52</v>
      </c>
      <c r="P25" s="8">
        <f>(B25*1000)/SUM('Population Figures'!$N27:$P27)</f>
        <v>946.17315820564511</v>
      </c>
      <c r="Q25" s="7">
        <f>(C25*1000)/SUM('Population Figures'!$N27:$P27)</f>
        <v>49.875707011257134</v>
      </c>
      <c r="R25" s="8">
        <f>(D25*1000)/SUM('Population Figures'!$N27)</f>
        <v>17.471136458478231</v>
      </c>
      <c r="S25" s="8">
        <f>(E25*1000)/SUM('Population Figures'!$N27)</f>
        <v>712.76777020447923</v>
      </c>
      <c r="T25" s="7">
        <f>(F25*1000)/SUM('Population Figures'!$P27)</f>
        <v>2933.2869078788626</v>
      </c>
      <c r="U25" s="8">
        <f>(G25*1000)/SUM('Population Figures'!$O27)</f>
        <v>82.66990046587037</v>
      </c>
      <c r="V25" s="8">
        <f>(H25*1000)/SUM('Population Figures'!$O27)</f>
        <v>172.02019692898278</v>
      </c>
      <c r="W25" s="8">
        <f>(I25*1000)/SUM('Population Figures'!$O27)</f>
        <v>68.474058971731012</v>
      </c>
      <c r="X25" s="8">
        <f>(J25*1000)/SUM('Population Figures'!$O27)</f>
        <v>4.9175137201920638</v>
      </c>
      <c r="Y25" s="7">
        <f>(K25*1000)/SUM('Population Figures'!$O27)</f>
        <v>0</v>
      </c>
      <c r="Z25" s="7">
        <f>(L25*1000)/SUM('Population Figures'!$O27)</f>
        <v>0</v>
      </c>
      <c r="AA25" s="7">
        <f>(M25*1000)/SUM('Population Figures'!$O27)</f>
        <v>0.37113311095789164</v>
      </c>
    </row>
    <row r="26" spans="1:27">
      <c r="A26" s="7" t="s">
        <v>53</v>
      </c>
      <c r="B26" s="8">
        <f t="shared" ref="B26:M26" si="23">B68*$F$39</f>
        <v>86332.938343302274</v>
      </c>
      <c r="C26" s="7">
        <f t="shared" si="23"/>
        <v>545.07215885380447</v>
      </c>
      <c r="D26" s="8">
        <f t="shared" si="23"/>
        <v>0</v>
      </c>
      <c r="E26" s="8">
        <f t="shared" si="23"/>
        <v>15200.461990541107</v>
      </c>
      <c r="F26" s="7">
        <f t="shared" si="23"/>
        <v>46406.122896091256</v>
      </c>
      <c r="G26" s="8">
        <f t="shared" si="23"/>
        <v>2350.4138266796499</v>
      </c>
      <c r="H26" s="8">
        <f t="shared" si="23"/>
        <v>14327.451140631523</v>
      </c>
      <c r="I26" s="8">
        <f t="shared" si="23"/>
        <v>4376.2466963416337</v>
      </c>
      <c r="J26" s="8">
        <f t="shared" si="23"/>
        <v>890.91876477952439</v>
      </c>
      <c r="K26" s="7">
        <f t="shared" si="23"/>
        <v>0</v>
      </c>
      <c r="L26" s="7">
        <f t="shared" si="23"/>
        <v>0</v>
      </c>
      <c r="M26" s="7">
        <f t="shared" si="23"/>
        <v>2236.2508693837813</v>
      </c>
      <c r="O26" s="7" t="s">
        <v>53</v>
      </c>
      <c r="P26" s="8">
        <f>(B26*1000)/SUM('Population Figures'!$N28:$P28)</f>
        <v>607.37961406572595</v>
      </c>
      <c r="Q26" s="7">
        <f>(C26*1000)/SUM('Population Figures'!$N28:$P28)</f>
        <v>3.8347555850133985</v>
      </c>
      <c r="R26" s="8">
        <f>(D26*1000)/SUM('Population Figures'!$N28)</f>
        <v>0</v>
      </c>
      <c r="S26" s="8">
        <f>(E26*1000)/SUM('Population Figures'!$N28)</f>
        <v>533.61166855792703</v>
      </c>
      <c r="T26" s="7">
        <f>(F26*1000)/SUM('Population Figures'!$P28)</f>
        <v>1689.5228054061693</v>
      </c>
      <c r="U26" s="8">
        <f>(G26*1000)/SUM('Population Figures'!$O28)</f>
        <v>27.271094558107947</v>
      </c>
      <c r="V26" s="8">
        <f>(H26*1000)/SUM('Population Figures'!$O28)</f>
        <v>166.23680068492374</v>
      </c>
      <c r="W26" s="8">
        <f>(I26*1000)/SUM('Population Figures'!$O28)</f>
        <v>50.776180820096229</v>
      </c>
      <c r="X26" s="8">
        <f>(J26*1000)/SUM('Population Figures'!$O28)</f>
        <v>10.337043461073298</v>
      </c>
      <c r="Y26" s="7">
        <f>(K26*1000)/SUM('Population Figures'!$O28)</f>
        <v>0</v>
      </c>
      <c r="Z26" s="7">
        <f>(L26*1000)/SUM('Population Figures'!$O28)</f>
        <v>0</v>
      </c>
      <c r="AA26" s="7">
        <f>(M26*1000)/SUM('Population Figures'!$O28)</f>
        <v>25.946498536714135</v>
      </c>
    </row>
    <row r="27" spans="1:27">
      <c r="A27" s="7" t="s">
        <v>54</v>
      </c>
      <c r="B27" s="8">
        <f t="shared" ref="B27:M27" si="24">B69*$F$39</f>
        <v>126178.0489289192</v>
      </c>
      <c r="C27" s="7">
        <f t="shared" si="24"/>
        <v>306.67304214772577</v>
      </c>
      <c r="D27" s="8">
        <f t="shared" si="24"/>
        <v>0</v>
      </c>
      <c r="E27" s="8">
        <f t="shared" si="24"/>
        <v>30225.202566420925</v>
      </c>
      <c r="F27" s="7">
        <f t="shared" si="24"/>
        <v>52946.988802336913</v>
      </c>
      <c r="G27" s="8">
        <f t="shared" si="24"/>
        <v>9428.517179023509</v>
      </c>
      <c r="H27" s="8">
        <f t="shared" si="24"/>
        <v>21279.07984420643</v>
      </c>
      <c r="I27" s="8">
        <f t="shared" si="24"/>
        <v>6073.0216302684667</v>
      </c>
      <c r="J27" s="8">
        <f t="shared" si="24"/>
        <v>2360.4870287939912</v>
      </c>
      <c r="K27" s="7">
        <f t="shared" si="24"/>
        <v>0</v>
      </c>
      <c r="L27" s="7">
        <f t="shared" si="24"/>
        <v>0</v>
      </c>
      <c r="M27" s="7">
        <f t="shared" si="24"/>
        <v>3558.0788357212414</v>
      </c>
      <c r="O27" s="7" t="s">
        <v>54</v>
      </c>
      <c r="P27" s="8">
        <f>(B27*1000)/SUM('Population Figures'!$N29:$P29)</f>
        <v>743.97434509975949</v>
      </c>
      <c r="Q27" s="7">
        <f>(C27*1000)/SUM('Population Figures'!$N29:$P29)</f>
        <v>1.8082136919087604</v>
      </c>
      <c r="R27" s="8">
        <f>(D27*1000)/SUM('Population Figures'!$N29)</f>
        <v>0</v>
      </c>
      <c r="S27" s="8">
        <f>(E27*1000)/SUM('Population Figures'!$N29)</f>
        <v>856.96633304283876</v>
      </c>
      <c r="T27" s="7">
        <f>(F27*1000)/SUM('Population Figures'!$P29)</f>
        <v>1925.975366568583</v>
      </c>
      <c r="U27" s="8">
        <f>(G27*1000)/SUM('Population Figures'!$O29)</f>
        <v>88.249770018659007</v>
      </c>
      <c r="V27" s="8">
        <f>(H27*1000)/SUM('Population Figures'!$O29)</f>
        <v>199.16959017031635</v>
      </c>
      <c r="W27" s="8">
        <f>(I27*1000)/SUM('Population Figures'!$O29)</f>
        <v>56.84274122996721</v>
      </c>
      <c r="X27" s="8">
        <f>(J27*1000)/SUM('Population Figures'!$O29)</f>
        <v>22.093870485440625</v>
      </c>
      <c r="Y27" s="7">
        <f>(K27*1000)/SUM('Population Figures'!$O29)</f>
        <v>0</v>
      </c>
      <c r="Z27" s="7">
        <f>(L27*1000)/SUM('Population Figures'!$O29)</f>
        <v>0</v>
      </c>
      <c r="AA27" s="7">
        <f>(M27*1000)/SUM('Population Figures'!$O29)</f>
        <v>33.303183628836301</v>
      </c>
    </row>
    <row r="28" spans="1:27">
      <c r="A28" s="7" t="s">
        <v>55</v>
      </c>
      <c r="B28" s="8">
        <f t="shared" ref="B28:M28" si="25">B70*$F$39</f>
        <v>73162.78620114064</v>
      </c>
      <c r="C28" s="7">
        <f t="shared" si="25"/>
        <v>1036.4205730977885</v>
      </c>
      <c r="D28" s="8">
        <f t="shared" si="25"/>
        <v>42.531297816107951</v>
      </c>
      <c r="E28" s="8">
        <f t="shared" si="25"/>
        <v>11791.242697176243</v>
      </c>
      <c r="F28" s="7">
        <f t="shared" si="25"/>
        <v>35045.789400472953</v>
      </c>
      <c r="G28" s="8">
        <f t="shared" si="25"/>
        <v>5621.9660244818479</v>
      </c>
      <c r="H28" s="8">
        <f t="shared" si="25"/>
        <v>14901.62366114898</v>
      </c>
      <c r="I28" s="8">
        <f t="shared" si="25"/>
        <v>2844.0007302823765</v>
      </c>
      <c r="J28" s="8">
        <f t="shared" si="25"/>
        <v>218.25271247739605</v>
      </c>
      <c r="K28" s="7">
        <f t="shared" si="25"/>
        <v>0</v>
      </c>
      <c r="L28" s="7">
        <f t="shared" si="25"/>
        <v>0</v>
      </c>
      <c r="M28" s="7">
        <f t="shared" si="25"/>
        <v>1660.9591041869526</v>
      </c>
      <c r="O28" s="7" t="s">
        <v>55</v>
      </c>
      <c r="P28" s="8">
        <f>(B28*1000)/SUM('Population Figures'!$N30:$P30)</f>
        <v>656.58068923216945</v>
      </c>
      <c r="Q28" s="7">
        <f>(C28*1000)/SUM('Population Figures'!$N30:$P30)</f>
        <v>9.3010910266336584</v>
      </c>
      <c r="R28" s="8">
        <f>(D28*1000)/SUM('Population Figures'!$N30)</f>
        <v>1.854265937834414</v>
      </c>
      <c r="S28" s="8">
        <f>(E28*1000)/SUM('Population Figures'!$N30)</f>
        <v>514.07083302856711</v>
      </c>
      <c r="T28" s="7">
        <f>(F28*1000)/SUM('Population Figures'!$P30)</f>
        <v>1626.9341906352051</v>
      </c>
      <c r="U28" s="8">
        <f>(G28*1000)/SUM('Population Figures'!$O30)</f>
        <v>83.970098346305534</v>
      </c>
      <c r="V28" s="8">
        <f>(H28*1000)/SUM('Population Figures'!$O30)</f>
        <v>222.5717478364945</v>
      </c>
      <c r="W28" s="8">
        <f>(I28*1000)/SUM('Population Figures'!$O30)</f>
        <v>42.478204240088068</v>
      </c>
      <c r="X28" s="8">
        <f>(J28*1000)/SUM('Population Figures'!$O30)</f>
        <v>3.2598385780468999</v>
      </c>
      <c r="Y28" s="7">
        <f>(K28*1000)/SUM('Population Figures'!$O30)</f>
        <v>0</v>
      </c>
      <c r="Z28" s="7">
        <f>(L28*1000)/SUM('Population Figures'!$O30)</f>
        <v>0</v>
      </c>
      <c r="AA28" s="7">
        <f>(M28*1000)/SUM('Population Figures'!$O30)</f>
        <v>24.808207434982563</v>
      </c>
    </row>
    <row r="29" spans="1:27">
      <c r="A29" s="7" t="s">
        <v>56</v>
      </c>
      <c r="B29" s="8">
        <f t="shared" ref="B29:M29" si="26">B71*$F$39</f>
        <v>22880.718980386704</v>
      </c>
      <c r="C29" s="7">
        <f t="shared" si="26"/>
        <v>348.0850952844624</v>
      </c>
      <c r="D29" s="8">
        <f t="shared" si="26"/>
        <v>27.981116984281545</v>
      </c>
      <c r="E29" s="8">
        <f t="shared" si="26"/>
        <v>4269.9184518013635</v>
      </c>
      <c r="F29" s="7">
        <f t="shared" si="26"/>
        <v>10806.307379329533</v>
      </c>
      <c r="G29" s="8">
        <f t="shared" si="26"/>
        <v>1653.1243914313536</v>
      </c>
      <c r="H29" s="8">
        <f t="shared" si="26"/>
        <v>3976.6763458060932</v>
      </c>
      <c r="I29" s="8">
        <f t="shared" si="26"/>
        <v>905.46894561135082</v>
      </c>
      <c r="J29" s="8">
        <f t="shared" si="26"/>
        <v>364.87376547503135</v>
      </c>
      <c r="K29" s="7">
        <f t="shared" si="26"/>
        <v>0</v>
      </c>
      <c r="L29" s="7">
        <f t="shared" si="26"/>
        <v>0</v>
      </c>
      <c r="M29" s="7">
        <f t="shared" si="26"/>
        <v>528.28348866323563</v>
      </c>
      <c r="O29" s="7" t="s">
        <v>56</v>
      </c>
      <c r="P29" s="8">
        <f>(B29*1000)/SUM('Population Figures'!$N31:$P31)</f>
        <v>1042.4017758718317</v>
      </c>
      <c r="Q29" s="7">
        <f>(C29*1000)/SUM('Population Figures'!$N31:$P31)</f>
        <v>15.85809090134225</v>
      </c>
      <c r="R29" s="8">
        <f>(D29*1000)/SUM('Population Figures'!$N31)</f>
        <v>5.5917499968588222</v>
      </c>
      <c r="S29" s="8">
        <f>(E29*1000)/SUM('Population Figures'!$N31)</f>
        <v>853.30104952065619</v>
      </c>
      <c r="T29" s="7">
        <f>(F29*1000)/SUM('Population Figures'!$P31)</f>
        <v>3087.5163940941525</v>
      </c>
      <c r="U29" s="8">
        <f>(G29*1000)/SUM('Population Figures'!$O31)</f>
        <v>122.94544038608906</v>
      </c>
      <c r="V29" s="8">
        <f>(H29*1000)/SUM('Population Figures'!$O31)</f>
        <v>295.7516247066855</v>
      </c>
      <c r="W29" s="8">
        <f>(I29*1000)/SUM('Population Figures'!$O31)</f>
        <v>67.341138302197734</v>
      </c>
      <c r="X29" s="8">
        <f>(J29*1000)/SUM('Population Figures'!$O31)</f>
        <v>27.136231256509841</v>
      </c>
      <c r="Y29" s="7">
        <f>(K29*1000)/SUM('Population Figures'!$O31)</f>
        <v>0</v>
      </c>
      <c r="Z29" s="7">
        <f>(L29*1000)/SUM('Population Figures'!$O31)</f>
        <v>0</v>
      </c>
      <c r="AA29" s="7">
        <f>(M29*1000)/SUM('Population Figures'!$O31)</f>
        <v>39.289267340713643</v>
      </c>
    </row>
    <row r="30" spans="1:27">
      <c r="A30" s="7" t="s">
        <v>57</v>
      </c>
      <c r="B30" s="8">
        <f t="shared" ref="B30:M30" si="27">B72*$F$39</f>
        <v>76634.683196550293</v>
      </c>
      <c r="C30" s="7">
        <f t="shared" si="27"/>
        <v>47.008276533592998</v>
      </c>
      <c r="D30" s="8">
        <f t="shared" si="27"/>
        <v>73.870148838503283</v>
      </c>
      <c r="E30" s="8">
        <f t="shared" si="27"/>
        <v>16892.759945750455</v>
      </c>
      <c r="F30" s="7">
        <f t="shared" si="27"/>
        <v>38962.026533592994</v>
      </c>
      <c r="G30" s="8">
        <f t="shared" si="27"/>
        <v>3351.0185700375578</v>
      </c>
      <c r="H30" s="8">
        <f t="shared" si="27"/>
        <v>12637.391674780918</v>
      </c>
      <c r="I30" s="8">
        <f t="shared" si="27"/>
        <v>1826.6073167338993</v>
      </c>
      <c r="J30" s="8">
        <f t="shared" si="27"/>
        <v>1162.8952218667409</v>
      </c>
      <c r="K30" s="7">
        <f t="shared" si="27"/>
        <v>0</v>
      </c>
      <c r="L30" s="7">
        <f t="shared" si="27"/>
        <v>0</v>
      </c>
      <c r="M30" s="7">
        <f t="shared" si="27"/>
        <v>1681.1055084156353</v>
      </c>
      <c r="O30" s="7" t="s">
        <v>57</v>
      </c>
      <c r="P30" s="8">
        <f>(B30*1000)/SUM('Population Figures'!$N32:$P32)</f>
        <v>686.13737305533436</v>
      </c>
      <c r="Q30" s="7">
        <f>(C30*1000)/SUM('Population Figures'!$N32:$P32)</f>
        <v>0.42088169517049867</v>
      </c>
      <c r="R30" s="8">
        <f>(D30*1000)/SUM('Population Figures'!$N32)</f>
        <v>3.4329467812298211</v>
      </c>
      <c r="S30" s="8">
        <f>(E30*1000)/SUM('Population Figures'!$N32)</f>
        <v>785.05251165305583</v>
      </c>
      <c r="T30" s="7">
        <f>(F30*1000)/SUM('Population Figures'!$P32)</f>
        <v>1710.6615092023617</v>
      </c>
      <c r="U30" s="8">
        <f>(G30*1000)/SUM('Population Figures'!$O32)</f>
        <v>49.721327230659945</v>
      </c>
      <c r="V30" s="8">
        <f>(H30*1000)/SUM('Population Figures'!$O32)</f>
        <v>187.50952096238527</v>
      </c>
      <c r="W30" s="8">
        <f>(I30*1000)/SUM('Population Figures'!$O32)</f>
        <v>27.102607227934882</v>
      </c>
      <c r="X30" s="8">
        <f>(J30*1000)/SUM('Population Figures'!$O32)</f>
        <v>17.254662322196285</v>
      </c>
      <c r="Y30" s="7">
        <f>(K30*1000)/SUM('Population Figures'!$O32)</f>
        <v>0</v>
      </c>
      <c r="Z30" s="7">
        <f>(L30*1000)/SUM('Population Figures'!$O32)</f>
        <v>0</v>
      </c>
      <c r="AA30" s="7">
        <f>(M30*1000)/SUM('Population Figures'!$O32)</f>
        <v>24.94369856394497</v>
      </c>
    </row>
    <row r="31" spans="1:27">
      <c r="A31" s="7" t="s">
        <v>58</v>
      </c>
      <c r="B31" s="8">
        <f t="shared" ref="B31:M31" si="28">B73*$F$39</f>
        <v>180625.94484629299</v>
      </c>
      <c r="C31" s="7">
        <f t="shared" si="28"/>
        <v>1046.4937752121298</v>
      </c>
      <c r="D31" s="8">
        <f t="shared" si="28"/>
        <v>91.778063708443469</v>
      </c>
      <c r="E31" s="8">
        <f t="shared" si="28"/>
        <v>34269.033592989297</v>
      </c>
      <c r="F31" s="7">
        <f t="shared" si="28"/>
        <v>90461.831965502861</v>
      </c>
      <c r="G31" s="8">
        <f t="shared" si="28"/>
        <v>5522.3532480178055</v>
      </c>
      <c r="H31" s="8">
        <f t="shared" si="28"/>
        <v>36243.381207400198</v>
      </c>
      <c r="I31" s="8">
        <f t="shared" si="28"/>
        <v>6480.4266935596061</v>
      </c>
      <c r="J31" s="8">
        <f t="shared" si="28"/>
        <v>1155.0605091111422</v>
      </c>
      <c r="K31" s="7">
        <f t="shared" si="28"/>
        <v>0</v>
      </c>
      <c r="L31" s="7">
        <f t="shared" si="28"/>
        <v>0</v>
      </c>
      <c r="M31" s="7">
        <f t="shared" si="28"/>
        <v>5355.5857907914879</v>
      </c>
      <c r="O31" s="7" t="s">
        <v>58</v>
      </c>
      <c r="P31" s="8">
        <f>(B31*1000)/SUM('Population Figures'!$N33:$P33)</f>
        <v>583.60563762937954</v>
      </c>
      <c r="Q31" s="7">
        <f>(C31*1000)/SUM('Population Figures'!$N33:$P33)</f>
        <v>3.3812399845303065</v>
      </c>
      <c r="R31" s="8">
        <f>(D31*1000)/SUM('Population Figures'!$N33)</f>
        <v>1.4013843689734997</v>
      </c>
      <c r="S31" s="8">
        <f>(E31*1000)/SUM('Population Figures'!$N33)</f>
        <v>523.2632513320807</v>
      </c>
      <c r="T31" s="7">
        <f>(F31*1000)/SUM('Population Figures'!$P33)</f>
        <v>1812.8623640381334</v>
      </c>
      <c r="U31" s="8">
        <f>(G31*1000)/SUM('Population Figures'!$O33)</f>
        <v>28.449753736394531</v>
      </c>
      <c r="V31" s="8">
        <f>(H31*1000)/SUM('Population Figures'!$O33)</f>
        <v>186.71664480987587</v>
      </c>
      <c r="W31" s="8">
        <f>(I31*1000)/SUM('Population Figures'!$O33)</f>
        <v>33.385503472582961</v>
      </c>
      <c r="X31" s="8">
        <f>(J31*1000)/SUM('Population Figures'!$O33)</f>
        <v>5.9505767847505382</v>
      </c>
      <c r="Y31" s="7">
        <f>(K31*1000)/SUM('Population Figures'!$O33)</f>
        <v>0</v>
      </c>
      <c r="Z31" s="7">
        <f>(L31*1000)/SUM('Population Figures'!$O33)</f>
        <v>0</v>
      </c>
      <c r="AA31" s="7">
        <f>(M31*1000)/SUM('Population Figures'!$O33)</f>
        <v>27.590610382782295</v>
      </c>
    </row>
    <row r="32" spans="1:27">
      <c r="A32" s="7" t="s">
        <v>59</v>
      </c>
      <c r="B32" s="8">
        <f t="shared" ref="B32:M32" si="29">B74*$F$39</f>
        <v>55281.733203505362</v>
      </c>
      <c r="C32" s="7">
        <f t="shared" si="29"/>
        <v>434.26693559604956</v>
      </c>
      <c r="D32" s="8">
        <f t="shared" si="29"/>
        <v>0</v>
      </c>
      <c r="E32" s="8">
        <f t="shared" si="29"/>
        <v>10689.905932674921</v>
      </c>
      <c r="F32" s="7">
        <f t="shared" si="29"/>
        <v>26321.277124773966</v>
      </c>
      <c r="G32" s="8">
        <f t="shared" si="29"/>
        <v>2427.641709556267</v>
      </c>
      <c r="H32" s="8">
        <f t="shared" si="29"/>
        <v>10378.755911809711</v>
      </c>
      <c r="I32" s="8">
        <f t="shared" si="29"/>
        <v>2012.4019335095288</v>
      </c>
      <c r="J32" s="8">
        <f t="shared" si="29"/>
        <v>605.51137153985269</v>
      </c>
      <c r="K32" s="7">
        <f t="shared" si="29"/>
        <v>0</v>
      </c>
      <c r="L32" s="7">
        <f t="shared" si="29"/>
        <v>0</v>
      </c>
      <c r="M32" s="7">
        <f t="shared" si="29"/>
        <v>2411.972284045069</v>
      </c>
      <c r="O32" s="7" t="s">
        <v>59</v>
      </c>
      <c r="P32" s="8">
        <f>(B32*1000)/SUM('Population Figures'!$N34:$P34)</f>
        <v>626.84809166011291</v>
      </c>
      <c r="Q32" s="7">
        <f>(C32*1000)/SUM('Population Figures'!$N34:$P34)</f>
        <v>4.9242197028693679</v>
      </c>
      <c r="R32" s="8">
        <f>(D32*1000)/SUM('Population Figures'!$N34)</f>
        <v>0</v>
      </c>
      <c r="S32" s="8">
        <f>(E32*1000)/SUM('Population Figures'!$N34)</f>
        <v>561.00267292967317</v>
      </c>
      <c r="T32" s="7">
        <f>(F32*1000)/SUM('Population Figures'!$P34)</f>
        <v>1815.1353096182308</v>
      </c>
      <c r="U32" s="8">
        <f>(G32*1000)/SUM('Population Figures'!$O34)</f>
        <v>44.434632455179326</v>
      </c>
      <c r="V32" s="8">
        <f>(H32*1000)/SUM('Population Figures'!$O34)</f>
        <v>189.96880901654117</v>
      </c>
      <c r="W32" s="8">
        <f>(I32*1000)/SUM('Population Figures'!$O34)</f>
        <v>36.834241196132972</v>
      </c>
      <c r="X32" s="8">
        <f>(J32*1000)/SUM('Population Figures'!$O34)</f>
        <v>11.083050326533893</v>
      </c>
      <c r="Y32" s="7">
        <f>(K32*1000)/SUM('Population Figures'!$O34)</f>
        <v>0</v>
      </c>
      <c r="Z32" s="7">
        <f>(L32*1000)/SUM('Population Figures'!$O34)</f>
        <v>0</v>
      </c>
      <c r="AA32" s="7">
        <f>(M32*1000)/SUM('Population Figures'!$O34)</f>
        <v>44.147825237856814</v>
      </c>
    </row>
    <row r="33" spans="1:27">
      <c r="A33" s="7" t="s">
        <v>60</v>
      </c>
      <c r="B33" s="8">
        <f t="shared" ref="B33:M33" si="30">B75*$F$39</f>
        <v>72596.448393378785</v>
      </c>
      <c r="C33" s="7">
        <f t="shared" si="30"/>
        <v>767.80185004868565</v>
      </c>
      <c r="D33" s="8">
        <f t="shared" si="30"/>
        <v>57.081478647934354</v>
      </c>
      <c r="E33" s="8">
        <f t="shared" si="30"/>
        <v>18217.945646126027</v>
      </c>
      <c r="F33" s="7">
        <f t="shared" si="30"/>
        <v>25856.790582834892</v>
      </c>
      <c r="G33" s="8">
        <f t="shared" si="30"/>
        <v>4806.0366532201979</v>
      </c>
      <c r="H33" s="8">
        <f t="shared" si="30"/>
        <v>13805.883120044515</v>
      </c>
      <c r="I33" s="8">
        <f t="shared" si="30"/>
        <v>5323.1276950897209</v>
      </c>
      <c r="J33" s="8">
        <f t="shared" si="30"/>
        <v>1336.3781471692866</v>
      </c>
      <c r="K33" s="7">
        <f t="shared" si="30"/>
        <v>41.412053136736688</v>
      </c>
      <c r="L33" s="7">
        <f t="shared" si="30"/>
        <v>29.100361663652809</v>
      </c>
      <c r="M33" s="7">
        <f t="shared" si="30"/>
        <v>2354.890805397135</v>
      </c>
      <c r="O33" s="7" t="s">
        <v>60</v>
      </c>
      <c r="P33" s="8">
        <f>(B33*1000)/SUM('Population Figures'!$N35:$P35)</f>
        <v>796.97495217234359</v>
      </c>
      <c r="Q33" s="7">
        <f>(C33*1000)/SUM('Population Figures'!$N35:$P35)</f>
        <v>8.4290465479052106</v>
      </c>
      <c r="R33" s="8">
        <f>(D33*1000)/SUM('Population Figures'!$N35)</f>
        <v>3.0160350125718245</v>
      </c>
      <c r="S33" s="8">
        <f>(E33*1000)/SUM('Population Figures'!$N35)</f>
        <v>962.58827254179585</v>
      </c>
      <c r="T33" s="7">
        <f>(F33*1000)/SUM('Population Figures'!$P35)</f>
        <v>1769.8008612481103</v>
      </c>
      <c r="U33" s="8">
        <f>(G33*1000)/SUM('Population Figures'!$O35)</f>
        <v>83.504824221082771</v>
      </c>
      <c r="V33" s="8">
        <f>(H33*1000)/SUM('Population Figures'!$O35)</f>
        <v>239.87703930299395</v>
      </c>
      <c r="W33" s="8">
        <f>(I33*1000)/SUM('Population Figures'!$O35)</f>
        <v>92.48927433522816</v>
      </c>
      <c r="X33" s="8">
        <f>(J33*1000)/SUM('Population Figures'!$O35)</f>
        <v>23.219552892401687</v>
      </c>
      <c r="Y33" s="7">
        <f>(K33*1000)/SUM('Population Figures'!$O35)</f>
        <v>0.71953388360038717</v>
      </c>
      <c r="Z33" s="7">
        <f>(L33*1000)/SUM('Population Figures'!$O35)</f>
        <v>0.50561840469216401</v>
      </c>
      <c r="AA33" s="7">
        <f>(M33*1000)/SUM('Population Figures'!$O35)</f>
        <v>40.916197056627425</v>
      </c>
    </row>
    <row r="34" spans="1:27">
      <c r="A34" s="7" t="s">
        <v>61</v>
      </c>
      <c r="B34" s="8">
        <f t="shared" ref="B34:M34" si="31">B76*$F$39</f>
        <v>82698.750869383788</v>
      </c>
      <c r="C34" s="7">
        <f t="shared" si="31"/>
        <v>3128.2888788426767</v>
      </c>
      <c r="D34" s="8">
        <f t="shared" si="31"/>
        <v>22.384893587425235</v>
      </c>
      <c r="E34" s="8">
        <f t="shared" si="31"/>
        <v>19026.040304632079</v>
      </c>
      <c r="F34" s="7">
        <f t="shared" si="31"/>
        <v>32884.527924607042</v>
      </c>
      <c r="G34" s="8">
        <f t="shared" si="31"/>
        <v>5644.3509180692736</v>
      </c>
      <c r="H34" s="8">
        <f t="shared" si="31"/>
        <v>13477.944428988734</v>
      </c>
      <c r="I34" s="8">
        <f t="shared" si="31"/>
        <v>4613.526568368341</v>
      </c>
      <c r="J34" s="8">
        <f t="shared" si="31"/>
        <v>1458.3758172207542</v>
      </c>
      <c r="K34" s="7">
        <f t="shared" si="31"/>
        <v>10.073202114341356</v>
      </c>
      <c r="L34" s="7">
        <f t="shared" si="31"/>
        <v>0</v>
      </c>
      <c r="M34" s="7">
        <f t="shared" si="31"/>
        <v>2433.2379329531232</v>
      </c>
      <c r="O34" s="7" t="s">
        <v>61</v>
      </c>
      <c r="P34" s="8">
        <f>(B34*1000)/SUM('Population Figures'!$N36:$P36)</f>
        <v>492.92931316316253</v>
      </c>
      <c r="Q34" s="7">
        <f>(C34*1000)/SUM('Population Figures'!$N36:$P36)</f>
        <v>18.646294801470326</v>
      </c>
      <c r="R34" s="8">
        <f>(D34*1000)/SUM('Population Figures'!$N36)</f>
        <v>0.57167029106992961</v>
      </c>
      <c r="S34" s="8">
        <f>(E34*1000)/SUM('Population Figures'!$N36)</f>
        <v>485.89116389488669</v>
      </c>
      <c r="T34" s="7">
        <f>(F34*1000)/SUM('Population Figures'!$P36)</f>
        <v>1535.7989876988156</v>
      </c>
      <c r="U34" s="8">
        <f>(G34*1000)/SUM('Population Figures'!$O36)</f>
        <v>52.652036063742628</v>
      </c>
      <c r="V34" s="8">
        <f>(H34*1000)/SUM('Population Figures'!$O36)</f>
        <v>125.7259207375746</v>
      </c>
      <c r="W34" s="8">
        <f>(I34*1000)/SUM('Population Figures'!$O36)</f>
        <v>43.036226978930614</v>
      </c>
      <c r="X34" s="8">
        <f>(J34*1000)/SUM('Population Figures'!$O36)</f>
        <v>13.604125122160747</v>
      </c>
      <c r="Y34" s="7">
        <f>(K34*1000)/SUM('Population Figures'!$O36)</f>
        <v>9.3965561089368169E-2</v>
      </c>
      <c r="Z34" s="7">
        <f>(L34*1000)/SUM('Population Figures'!$O36)</f>
        <v>0</v>
      </c>
      <c r="AA34" s="7">
        <f>(M34*1000)/SUM('Population Figures'!$O36)</f>
        <v>22.697903312031819</v>
      </c>
    </row>
    <row r="35" spans="1:27">
      <c r="A35" s="52" t="s">
        <v>5</v>
      </c>
      <c r="B35" s="53">
        <f t="shared" ref="B35:M35" si="32">B77*$F$39</f>
        <v>3572868.534914453</v>
      </c>
      <c r="C35" s="52">
        <f t="shared" si="32"/>
        <v>30151.332417582424</v>
      </c>
      <c r="D35" s="53">
        <f t="shared" si="32"/>
        <v>2791.396230351927</v>
      </c>
      <c r="E35" s="53">
        <f t="shared" si="32"/>
        <v>767147.0919112534</v>
      </c>
      <c r="F35" s="52">
        <f t="shared" si="32"/>
        <v>1628402.5149534012</v>
      </c>
      <c r="G35" s="53">
        <f t="shared" si="32"/>
        <v>216432.82062873838</v>
      </c>
      <c r="H35" s="53">
        <f t="shared" si="32"/>
        <v>600762.4163652804</v>
      </c>
      <c r="I35" s="53">
        <f t="shared" si="32"/>
        <v>158793.95813047714</v>
      </c>
      <c r="J35" s="53">
        <f t="shared" si="32"/>
        <v>53126.067951036312</v>
      </c>
      <c r="K35" s="52">
        <f t="shared" si="32"/>
        <v>2245.2048268187514</v>
      </c>
      <c r="L35" s="52">
        <f t="shared" si="32"/>
        <v>3417.0540061204624</v>
      </c>
      <c r="M35" s="52">
        <f t="shared" si="32"/>
        <v>109598.67749339269</v>
      </c>
      <c r="O35" s="52" t="s">
        <v>5</v>
      </c>
      <c r="P35" s="53">
        <f>(B35*1000)/SUM('Population Figures'!$N37:$P37)</f>
        <v>694.54308442798742</v>
      </c>
      <c r="Q35" s="52">
        <f>(C35*1000)/SUM('Population Figures'!$N37:$P37)</f>
        <v>5.8612286492714949</v>
      </c>
      <c r="R35" s="53">
        <f>(D35*1000)/SUM('Population Figures'!$N37)</f>
        <v>2.6650540146780828</v>
      </c>
      <c r="S35" s="53">
        <f>(E35*1000)/SUM('Population Figures'!$N37)</f>
        <v>732.4250190339128</v>
      </c>
      <c r="T35" s="52">
        <f>(F35*1000)/SUM('Population Figures'!$P37)</f>
        <v>1925.7065761209928</v>
      </c>
      <c r="U35" s="53">
        <f>(G35*1000)/SUM('Population Figures'!$O37)</f>
        <v>66.570543811397201</v>
      </c>
      <c r="V35" s="53">
        <f>(H35*1000)/SUM('Population Figures'!$O37)</f>
        <v>184.78288386532901</v>
      </c>
      <c r="W35" s="53">
        <f>(I35*1000)/SUM('Population Figures'!$O37)</f>
        <v>48.841946041276437</v>
      </c>
      <c r="X35" s="53">
        <f>(J35*1000)/SUM('Population Figures'!$O37)</f>
        <v>16.340549570013444</v>
      </c>
      <c r="Y35" s="52">
        <f>(K35*1000)/SUM('Population Figures'!$O37)</f>
        <v>0.69058152019228436</v>
      </c>
      <c r="Z35" s="52">
        <f>(L35*1000)/SUM('Population Figures'!$O37)</f>
        <v>1.0510196316784868</v>
      </c>
      <c r="AA35" s="52">
        <f>(M35*1000)/SUM('Population Figures'!$O37)</f>
        <v>33.710430518578697</v>
      </c>
    </row>
    <row r="37" spans="1:27" ht="13.5" thickBot="1"/>
    <row r="38" spans="1:27">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27"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1">
        <f>Deflators!$K$2/Deflators!F2</f>
        <v>1.1192446793712618</v>
      </c>
      <c r="G39" s="565">
        <f>Deflators!$K$2/Deflators!G2</f>
        <v>1.0903639628245232</v>
      </c>
      <c r="H39" s="565">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27">
      <c r="N40" s="233"/>
      <c r="S40" s="11"/>
      <c r="V40" s="11"/>
      <c r="W40" s="11"/>
      <c r="X40" s="149"/>
    </row>
    <row r="41" spans="1:27">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63.75">
      <c r="A44" s="21" t="s">
        <v>26</v>
      </c>
      <c r="B44" s="10" t="s">
        <v>9</v>
      </c>
      <c r="C44" s="9" t="s">
        <v>10</v>
      </c>
      <c r="D44" s="10" t="s">
        <v>11</v>
      </c>
      <c r="E44" s="10" t="s">
        <v>12</v>
      </c>
      <c r="F44" s="9" t="s">
        <v>14</v>
      </c>
      <c r="G44" s="10" t="s">
        <v>15</v>
      </c>
      <c r="H44" s="10" t="s">
        <v>16</v>
      </c>
      <c r="I44" s="10" t="s">
        <v>17</v>
      </c>
      <c r="J44" s="186" t="s">
        <v>351</v>
      </c>
      <c r="K44" s="18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27">
      <c r="A45" s="7" t="s">
        <v>31</v>
      </c>
      <c r="B45" s="425">
        <v>143567</v>
      </c>
      <c r="C45" s="280">
        <v>694</v>
      </c>
      <c r="D45" s="425">
        <v>0</v>
      </c>
      <c r="E45" s="425">
        <v>31252</v>
      </c>
      <c r="F45" s="280">
        <v>58150</v>
      </c>
      <c r="G45" s="425">
        <v>9499</v>
      </c>
      <c r="H45" s="425">
        <v>26737</v>
      </c>
      <c r="I45" s="425">
        <v>9580</v>
      </c>
      <c r="J45" s="425">
        <v>2988</v>
      </c>
      <c r="K45" s="280">
        <v>0</v>
      </c>
      <c r="L45" s="280">
        <v>18</v>
      </c>
      <c r="M45" s="280">
        <v>4649</v>
      </c>
      <c r="N45" s="233"/>
      <c r="O45" s="7" t="s">
        <v>31</v>
      </c>
      <c r="P45" s="425">
        <f>(B45*1000)/SUM('Population Figures'!$N5:$P5)</f>
        <v>686.06996081429804</v>
      </c>
      <c r="Q45" s="280">
        <f>(C45/SUM('Population Figures'!N5:P5))*1000</f>
        <v>3.3164484373506644</v>
      </c>
      <c r="R45" s="425">
        <f>(D45/'Population Figures'!N5)*1000</f>
        <v>0</v>
      </c>
      <c r="S45" s="425">
        <f>(E45/'Population Figures'!N5)*1000</f>
        <v>833.60896238997066</v>
      </c>
      <c r="T45" s="280">
        <f>(F45/'Population Figures'!P5)*1000</f>
        <v>1801.9832661915091</v>
      </c>
      <c r="U45" s="425">
        <f>(G45/'Population Figures'!O5)*1000</f>
        <v>68.093189964157716</v>
      </c>
      <c r="V45" s="425">
        <f>(H45/'Population Figures'!O5)*1000</f>
        <v>191.66308243727599</v>
      </c>
      <c r="W45" s="425">
        <f>(I45/'Population Figures'!O5)*1000</f>
        <v>68.673835125448036</v>
      </c>
      <c r="X45" s="500">
        <f>(J45/'Population Figures'!O5)*1000</f>
        <v>21.419354838709676</v>
      </c>
      <c r="Y45" s="186">
        <f>(K45/'Population Figures'!O5)*1000</f>
        <v>0</v>
      </c>
      <c r="Z45" s="186">
        <f>(L45/'Population Figures'!O5)*1000</f>
        <v>0.12903225806451613</v>
      </c>
      <c r="AA45" s="501">
        <f>(M45/'Population Figures'!O5)*1000</f>
        <v>33.326164874551971</v>
      </c>
    </row>
    <row r="46" spans="1:27">
      <c r="A46" s="7" t="s">
        <v>32</v>
      </c>
      <c r="B46" s="425">
        <v>130180</v>
      </c>
      <c r="C46" s="280">
        <v>1155</v>
      </c>
      <c r="D46" s="425">
        <v>118</v>
      </c>
      <c r="E46" s="425">
        <v>23922</v>
      </c>
      <c r="F46" s="280">
        <v>56589</v>
      </c>
      <c r="G46" s="425">
        <v>6462</v>
      </c>
      <c r="H46" s="425">
        <v>32500</v>
      </c>
      <c r="I46" s="425">
        <v>4752</v>
      </c>
      <c r="J46" s="425">
        <v>1873</v>
      </c>
      <c r="K46" s="280">
        <v>0</v>
      </c>
      <c r="L46" s="280">
        <v>0</v>
      </c>
      <c r="M46" s="280">
        <v>2809</v>
      </c>
      <c r="N46" s="233"/>
      <c r="O46" s="7" t="s">
        <v>32</v>
      </c>
      <c r="P46" s="425">
        <f>(B46*1000)/SUM('Population Figures'!$N6:$P6)</f>
        <v>544.32179294196351</v>
      </c>
      <c r="Q46" s="280">
        <f>(C46/SUM('Population Figures'!N6:P6))*1000</f>
        <v>4.8294029101856504</v>
      </c>
      <c r="R46" s="425">
        <f>(D46/'Population Figures'!N6)*1000</f>
        <v>2.2387493359641799</v>
      </c>
      <c r="S46" s="425">
        <f>(E46/'Population Figures'!N6)*1000</f>
        <v>453.85899673673822</v>
      </c>
      <c r="T46" s="280">
        <f>(F46/'Population Figures'!P6)*1000</f>
        <v>1514.775951603405</v>
      </c>
      <c r="U46" s="425">
        <f>(G46/'Population Figures'!O6)*1000</f>
        <v>43.341784377640955</v>
      </c>
      <c r="V46" s="425">
        <f>(H46/'Population Figures'!O6)*1000</f>
        <v>217.98328571236939</v>
      </c>
      <c r="W46" s="425">
        <f>(I46/'Population Figures'!O6)*1000</f>
        <v>31.872509960159363</v>
      </c>
      <c r="X46" s="500">
        <f>(J46/'Population Figures'!O6)*1000</f>
        <v>12.562544435054395</v>
      </c>
      <c r="Y46" s="186">
        <f>(K46/'Population Figures'!O6)*1000</f>
        <v>0</v>
      </c>
      <c r="Z46" s="186">
        <f>(L46/'Population Figures'!O6)*1000</f>
        <v>0</v>
      </c>
      <c r="AA46" s="501">
        <f>(M46/'Population Figures'!O6)*1000</f>
        <v>18.840463063570635</v>
      </c>
    </row>
    <row r="47" spans="1:27">
      <c r="A47" s="7" t="s">
        <v>33</v>
      </c>
      <c r="B47" s="425">
        <v>63614</v>
      </c>
      <c r="C47" s="280">
        <v>403</v>
      </c>
      <c r="D47" s="425">
        <v>135</v>
      </c>
      <c r="E47" s="425">
        <v>14365</v>
      </c>
      <c r="F47" s="280">
        <v>33783</v>
      </c>
      <c r="G47" s="425">
        <v>2787</v>
      </c>
      <c r="H47" s="425">
        <v>8252</v>
      </c>
      <c r="I47" s="425">
        <v>2057</v>
      </c>
      <c r="J47" s="425">
        <v>417</v>
      </c>
      <c r="K47" s="280">
        <v>5</v>
      </c>
      <c r="L47" s="280">
        <v>0</v>
      </c>
      <c r="M47" s="280">
        <v>1410</v>
      </c>
      <c r="N47" s="233"/>
      <c r="O47" s="7" t="s">
        <v>33</v>
      </c>
      <c r="P47" s="425">
        <f>(B47*1000)/SUM('Population Figures'!$N7:$P7)</f>
        <v>578.99335578410853</v>
      </c>
      <c r="Q47" s="280">
        <f>(C47/SUM('Population Figures'!N7:P7))*1000</f>
        <v>3.6679712387366887</v>
      </c>
      <c r="R47" s="425">
        <f>(D47/'Population Figures'!N7)*1000</f>
        <v>5.9405940594059405</v>
      </c>
      <c r="S47" s="425">
        <f>(E47/'Population Figures'!N7)*1000</f>
        <v>632.12321232123213</v>
      </c>
      <c r="T47" s="280">
        <f>(F47/'Population Figures'!P7)*1000</f>
        <v>1603.2175398633258</v>
      </c>
      <c r="U47" s="425">
        <f>(G47/'Population Figures'!O7)*1000</f>
        <v>42.180618406913567</v>
      </c>
      <c r="V47" s="425">
        <f>(H47/'Population Figures'!O7)*1000</f>
        <v>124.89216472689297</v>
      </c>
      <c r="W47" s="425">
        <f>(I47/'Population Figures'!O7)*1000</f>
        <v>31.132232530685755</v>
      </c>
      <c r="X47" s="500">
        <f>(J47/'Population Figures'!O7)*1000</f>
        <v>6.3112012471054735</v>
      </c>
      <c r="Y47" s="186">
        <f>(K47/'Population Figures'!O7)*1000</f>
        <v>7.5673875864574025E-2</v>
      </c>
      <c r="Z47" s="186">
        <f>(L47/'Population Figures'!O7)*1000</f>
        <v>0</v>
      </c>
      <c r="AA47" s="501">
        <f>(M47/'Population Figures'!O7)*1000</f>
        <v>21.340032993809878</v>
      </c>
    </row>
    <row r="48" spans="1:27">
      <c r="A48" s="7" t="s">
        <v>34</v>
      </c>
      <c r="B48" s="425">
        <v>48460</v>
      </c>
      <c r="C48" s="280">
        <v>1158</v>
      </c>
      <c r="D48" s="425">
        <v>51</v>
      </c>
      <c r="E48" s="425">
        <v>9447</v>
      </c>
      <c r="F48" s="280">
        <v>25711</v>
      </c>
      <c r="G48" s="425">
        <v>839</v>
      </c>
      <c r="H48" s="425">
        <v>9169</v>
      </c>
      <c r="I48" s="425">
        <v>1829</v>
      </c>
      <c r="J48" s="425">
        <v>268</v>
      </c>
      <c r="K48" s="280">
        <v>0</v>
      </c>
      <c r="L48" s="280">
        <v>0</v>
      </c>
      <c r="M48" s="280">
        <v>-12</v>
      </c>
      <c r="N48" s="233"/>
      <c r="O48" s="7" t="s">
        <v>34</v>
      </c>
      <c r="P48" s="425">
        <f>(B48*1000)/SUM('Population Figures'!$N8:$P8)</f>
        <v>530.48713738368906</v>
      </c>
      <c r="Q48" s="280">
        <f>(C48/SUM('Population Figures'!N8:P8))*1000</f>
        <v>12.676518883415437</v>
      </c>
      <c r="R48" s="425">
        <f>(D48/'Population Figures'!N8)*1000</f>
        <v>2.8748590755355128</v>
      </c>
      <c r="S48" s="425">
        <f>(E48/'Population Figures'!N8)*1000</f>
        <v>532.52536640360768</v>
      </c>
      <c r="T48" s="280">
        <f>(F48/'Population Figures'!P8)*1000</f>
        <v>1389.483354950281</v>
      </c>
      <c r="U48" s="425">
        <f>(G48/'Population Figures'!O8)*1000</f>
        <v>15.225202337313542</v>
      </c>
      <c r="V48" s="425">
        <f>(H48/'Population Figures'!O8)*1000</f>
        <v>166.38841505462202</v>
      </c>
      <c r="W48" s="425">
        <f>(I48/'Population Figures'!O8)*1000</f>
        <v>33.190578158458244</v>
      </c>
      <c r="X48" s="500">
        <f>(J48/'Population Figures'!O8)*1000</f>
        <v>4.8633542626937176</v>
      </c>
      <c r="Y48" s="186">
        <f>(K48/'Population Figures'!O8)*1000</f>
        <v>0</v>
      </c>
      <c r="Z48" s="186">
        <f>(L48/'Population Figures'!O8)*1000</f>
        <v>0</v>
      </c>
      <c r="AA48" s="501">
        <f>(M48/'Population Figures'!O8)*1000</f>
        <v>-0.21776213116539034</v>
      </c>
    </row>
    <row r="49" spans="1:27">
      <c r="A49" s="7" t="s">
        <v>35</v>
      </c>
      <c r="B49" s="425">
        <v>29555</v>
      </c>
      <c r="C49" s="280">
        <v>144</v>
      </c>
      <c r="D49" s="425">
        <v>19</v>
      </c>
      <c r="E49" s="425">
        <v>7373</v>
      </c>
      <c r="F49" s="280">
        <v>12414</v>
      </c>
      <c r="G49" s="425">
        <v>2641</v>
      </c>
      <c r="H49" s="425">
        <v>3697</v>
      </c>
      <c r="I49" s="425">
        <v>1830</v>
      </c>
      <c r="J49" s="425">
        <v>168</v>
      </c>
      <c r="K49" s="280">
        <v>0</v>
      </c>
      <c r="L49" s="280">
        <v>0</v>
      </c>
      <c r="M49" s="280">
        <v>1269</v>
      </c>
      <c r="N49" s="233"/>
      <c r="O49" s="7" t="s">
        <v>35</v>
      </c>
      <c r="P49" s="425">
        <f>(B49*1000)/SUM('Population Figures'!$N9:$P9)</f>
        <v>592.28456913827654</v>
      </c>
      <c r="Q49" s="280">
        <f>(C49/SUM('Population Figures'!N9:P9))*1000</f>
        <v>2.8857715430861726</v>
      </c>
      <c r="R49" s="425">
        <f>(D49/'Population Figures'!N9)*1000</f>
        <v>1.7421602787456445</v>
      </c>
      <c r="S49" s="425">
        <f>(E49/'Population Figures'!N9)*1000</f>
        <v>676.0498807995599</v>
      </c>
      <c r="T49" s="280">
        <f>(F49/'Population Figures'!P9)*1000</f>
        <v>1640.5444694066341</v>
      </c>
      <c r="U49" s="425">
        <f>(G49/'Population Figures'!O9)*1000</f>
        <v>84.036019982817322</v>
      </c>
      <c r="V49" s="425">
        <f>(H49/'Population Figures'!O9)*1000</f>
        <v>117.63770006682152</v>
      </c>
      <c r="W49" s="425">
        <f>(I49/'Population Figures'!O9)*1000</f>
        <v>58.230184236484554</v>
      </c>
      <c r="X49" s="500">
        <f>(J49/'Population Figures'!O9)*1000</f>
        <v>5.3457218315461228</v>
      </c>
      <c r="Y49" s="186">
        <f>(K49/'Population Figures'!O9)*1000</f>
        <v>0</v>
      </c>
      <c r="Z49" s="186">
        <f>(L49/'Population Figures'!O9)*1000</f>
        <v>0</v>
      </c>
      <c r="AA49" s="501">
        <f>(M49/'Population Figures'!O9)*1000</f>
        <v>40.379291691857318</v>
      </c>
    </row>
    <row r="50" spans="1:27">
      <c r="A50" s="7" t="s">
        <v>36</v>
      </c>
      <c r="B50" s="425">
        <v>92446</v>
      </c>
      <c r="C50" s="280">
        <v>1396</v>
      </c>
      <c r="D50" s="425">
        <v>113</v>
      </c>
      <c r="E50" s="425">
        <v>18658</v>
      </c>
      <c r="F50" s="280">
        <v>44362</v>
      </c>
      <c r="G50" s="425">
        <v>6033</v>
      </c>
      <c r="H50" s="425">
        <v>14044</v>
      </c>
      <c r="I50" s="425">
        <v>3843</v>
      </c>
      <c r="J50" s="425">
        <v>485</v>
      </c>
      <c r="K50" s="280">
        <v>0</v>
      </c>
      <c r="L50" s="280">
        <v>0</v>
      </c>
      <c r="M50" s="280">
        <v>3512</v>
      </c>
      <c r="N50" s="233"/>
      <c r="O50" s="7" t="s">
        <v>36</v>
      </c>
      <c r="P50" s="425">
        <f>(B50*1000)/SUM('Population Figures'!$N10:$P10)</f>
        <v>623.37154416722854</v>
      </c>
      <c r="Q50" s="280">
        <f>(C50/SUM('Population Figures'!N10:P10))*1000</f>
        <v>9.4133513149022239</v>
      </c>
      <c r="R50" s="425">
        <f>(D50/'Population Figures'!N10)*1000</f>
        <v>3.8761019449113299</v>
      </c>
      <c r="S50" s="425">
        <f>(E50/'Population Figures'!N10)*1000</f>
        <v>640.00274414296985</v>
      </c>
      <c r="T50" s="280">
        <f>(F50/'Population Figures'!P10)*1000</f>
        <v>1426.9814719505919</v>
      </c>
      <c r="U50" s="425">
        <f>(G50/'Population Figures'!O10)*1000</f>
        <v>68.510884747725953</v>
      </c>
      <c r="V50" s="425">
        <f>(H50/'Population Figures'!O10)*1000</f>
        <v>159.48398233002871</v>
      </c>
      <c r="W50" s="425">
        <f>(I50/'Population Figures'!O10)*1000</f>
        <v>43.641195107825439</v>
      </c>
      <c r="X50" s="500">
        <f>(J50/'Population Figures'!O10)*1000</f>
        <v>5.5076709933113026</v>
      </c>
      <c r="Y50" s="186">
        <f>(K50/'Population Figures'!O10)*1000</f>
        <v>0</v>
      </c>
      <c r="Z50" s="186">
        <f>(L50/'Population Figures'!O10)*1000</f>
        <v>0</v>
      </c>
      <c r="AA50" s="501">
        <f>(M50/'Population Figures'!O10)*1000</f>
        <v>39.882351605173803</v>
      </c>
    </row>
    <row r="51" spans="1:27">
      <c r="A51" s="7" t="s">
        <v>37</v>
      </c>
      <c r="B51" s="425">
        <v>96374</v>
      </c>
      <c r="C51" s="280">
        <v>874</v>
      </c>
      <c r="D51" s="425">
        <v>246</v>
      </c>
      <c r="E51" s="425">
        <v>24463</v>
      </c>
      <c r="F51" s="280">
        <v>41928</v>
      </c>
      <c r="G51" s="425">
        <v>6612</v>
      </c>
      <c r="H51" s="425">
        <v>12514</v>
      </c>
      <c r="I51" s="425">
        <v>3466</v>
      </c>
      <c r="J51" s="425">
        <v>707</v>
      </c>
      <c r="K51" s="280">
        <v>206</v>
      </c>
      <c r="L51" s="280">
        <v>0</v>
      </c>
      <c r="M51" s="280">
        <v>5358</v>
      </c>
      <c r="N51" s="233"/>
      <c r="O51" s="7" t="s">
        <v>37</v>
      </c>
      <c r="P51" s="425">
        <f>(B51*1000)/SUM('Population Figures'!$N11:$P11)</f>
        <v>677.97397115722833</v>
      </c>
      <c r="Q51" s="280">
        <f>(C51/SUM('Population Figures'!N11:P11))*1000</f>
        <v>6.1484347520225118</v>
      </c>
      <c r="R51" s="425">
        <f>(D51/'Population Figures'!N11)*1000</f>
        <v>9.0594387567209242</v>
      </c>
      <c r="S51" s="425">
        <f>(E51/'Population Figures'!N11)*1000</f>
        <v>900.89857847830888</v>
      </c>
      <c r="T51" s="280">
        <f>(F51/'Population Figures'!P11)*1000</f>
        <v>1632.1382692981433</v>
      </c>
      <c r="U51" s="425">
        <f>(G51/'Population Figures'!O11)*1000</f>
        <v>74.036749638886093</v>
      </c>
      <c r="V51" s="425">
        <f>(H51/'Population Figures'!O11)*1000</f>
        <v>140.12339458273149</v>
      </c>
      <c r="W51" s="425">
        <f>(I51/'Population Figures'!O11)*1000</f>
        <v>38.809947708466304</v>
      </c>
      <c r="X51" s="500">
        <f>(J51/'Population Figures'!O11)*1000</f>
        <v>7.9165127033715157</v>
      </c>
      <c r="Y51" s="186">
        <f>(K51/'Population Figures'!O11)*1000</f>
        <v>2.3066500946174431</v>
      </c>
      <c r="Z51" s="186">
        <f>(L51/'Population Figures'!O11)*1000</f>
        <v>0</v>
      </c>
      <c r="AA51" s="501">
        <f>(M51/'Population Figures'!O11)*1000</f>
        <v>59.995297121166317</v>
      </c>
    </row>
    <row r="52" spans="1:27">
      <c r="A52" s="7" t="s">
        <v>38</v>
      </c>
      <c r="B52" s="425">
        <v>75765</v>
      </c>
      <c r="C52" s="280">
        <v>625</v>
      </c>
      <c r="D52" s="425">
        <v>82</v>
      </c>
      <c r="E52" s="425">
        <v>15677</v>
      </c>
      <c r="F52" s="280">
        <v>35866</v>
      </c>
      <c r="G52" s="425">
        <v>4172</v>
      </c>
      <c r="H52" s="425">
        <v>13858</v>
      </c>
      <c r="I52" s="425">
        <v>2850</v>
      </c>
      <c r="J52" s="425">
        <v>331</v>
      </c>
      <c r="K52" s="280">
        <v>0</v>
      </c>
      <c r="L52" s="280">
        <v>0</v>
      </c>
      <c r="M52" s="280">
        <v>2304</v>
      </c>
      <c r="N52" s="233"/>
      <c r="O52" s="7" t="s">
        <v>38</v>
      </c>
      <c r="P52" s="425">
        <f>(B52*1000)/SUM('Population Figures'!$N12:$P12)</f>
        <v>633.6455632683784</v>
      </c>
      <c r="Q52" s="280">
        <f>(C52/SUM('Population Figures'!N12:P12))*1000</f>
        <v>5.2270636447269379</v>
      </c>
      <c r="R52" s="425">
        <f>(D52/'Population Figures'!N12)*1000</f>
        <v>3.2769851736402513</v>
      </c>
      <c r="S52" s="425">
        <f>(E52/'Population Figures'!N12)*1000</f>
        <v>626.50361667266122</v>
      </c>
      <c r="T52" s="280">
        <f>(F52/'Population Figures'!P12)*1000</f>
        <v>1776.160055464765</v>
      </c>
      <c r="U52" s="425">
        <f>(G52/'Population Figures'!O12)*1000</f>
        <v>56.109960459423839</v>
      </c>
      <c r="V52" s="425">
        <f>(H52/'Population Figures'!O12)*1000</f>
        <v>186.37867498722326</v>
      </c>
      <c r="W52" s="425">
        <f>(I52/'Population Figures'!O12)*1000</f>
        <v>38.33015036178282</v>
      </c>
      <c r="X52" s="500">
        <f>(J52/'Population Figures'!O12)*1000</f>
        <v>4.4516771121930221</v>
      </c>
      <c r="Y52" s="186">
        <f>(K52/'Population Figures'!O12)*1000</f>
        <v>0</v>
      </c>
      <c r="Z52" s="186">
        <f>(L52/'Population Figures'!O12)*1000</f>
        <v>0</v>
      </c>
      <c r="AA52" s="501">
        <f>(M52/'Population Figures'!O12)*1000</f>
        <v>30.986900502999166</v>
      </c>
    </row>
    <row r="53" spans="1:27">
      <c r="A53" s="7" t="s">
        <v>39</v>
      </c>
      <c r="B53" s="425">
        <v>47821</v>
      </c>
      <c r="C53" s="280">
        <v>1216</v>
      </c>
      <c r="D53" s="425">
        <v>0</v>
      </c>
      <c r="E53" s="425">
        <v>8537</v>
      </c>
      <c r="F53" s="280">
        <v>21069</v>
      </c>
      <c r="G53" s="425">
        <v>2999</v>
      </c>
      <c r="H53" s="425">
        <v>9959</v>
      </c>
      <c r="I53" s="425">
        <v>3326</v>
      </c>
      <c r="J53" s="425">
        <v>528</v>
      </c>
      <c r="K53" s="280">
        <v>0</v>
      </c>
      <c r="L53" s="280">
        <v>0</v>
      </c>
      <c r="M53" s="280">
        <v>187</v>
      </c>
      <c r="N53" s="233"/>
      <c r="O53" s="7" t="s">
        <v>39</v>
      </c>
      <c r="P53" s="425">
        <f>(B53*1000)/SUM('Population Figures'!$N13:$P13)</f>
        <v>456.08965188364328</v>
      </c>
      <c r="Q53" s="280">
        <f>(C53/SUM('Population Figures'!N13:P13))*1000</f>
        <v>11.597520267048164</v>
      </c>
      <c r="R53" s="425">
        <f>(D53/'Population Figures'!N13)*1000</f>
        <v>0</v>
      </c>
      <c r="S53" s="425">
        <f>(E53/'Population Figures'!N13)*1000</f>
        <v>379.10209156712108</v>
      </c>
      <c r="T53" s="280">
        <f>(F53/'Population Figures'!P13)*1000</f>
        <v>1127.1064034665383</v>
      </c>
      <c r="U53" s="425">
        <f>(G53/'Population Figures'!O13)*1000</f>
        <v>47.125931047487349</v>
      </c>
      <c r="V53" s="425">
        <f>(H53/'Population Figures'!O13)*1000</f>
        <v>156.49454728306986</v>
      </c>
      <c r="W53" s="425">
        <f>(I53/'Population Figures'!O13)*1000</f>
        <v>52.264370344762561</v>
      </c>
      <c r="X53" s="500">
        <f>(J53/'Population Figures'!O13)*1000</f>
        <v>8.2969295075269489</v>
      </c>
      <c r="Y53" s="186">
        <f>(K53/'Population Figures'!O13)*1000</f>
        <v>0</v>
      </c>
      <c r="Z53" s="186">
        <f>(L53/'Population Figures'!O13)*1000</f>
        <v>0</v>
      </c>
      <c r="AA53" s="501">
        <f>(M53/'Population Figures'!O13)*1000</f>
        <v>2.9384958672491277</v>
      </c>
    </row>
    <row r="54" spans="1:27">
      <c r="A54" s="7" t="s">
        <v>40</v>
      </c>
      <c r="B54" s="425">
        <v>57553</v>
      </c>
      <c r="C54" s="280">
        <v>988</v>
      </c>
      <c r="D54" s="425">
        <v>45</v>
      </c>
      <c r="E54" s="425">
        <v>9457</v>
      </c>
      <c r="F54" s="280">
        <v>25906</v>
      </c>
      <c r="G54" s="425">
        <v>4151</v>
      </c>
      <c r="H54" s="425">
        <v>13172</v>
      </c>
      <c r="I54" s="425">
        <v>2073</v>
      </c>
      <c r="J54" s="425">
        <v>839</v>
      </c>
      <c r="K54" s="280">
        <v>0</v>
      </c>
      <c r="L54" s="280">
        <v>0</v>
      </c>
      <c r="M54" s="280">
        <v>922</v>
      </c>
      <c r="N54" s="233"/>
      <c r="O54" s="7" t="s">
        <v>40</v>
      </c>
      <c r="P54" s="425">
        <f>(B54*1000)/SUM('Population Figures'!$N14:$P14)</f>
        <v>609.41338415925452</v>
      </c>
      <c r="Q54" s="280">
        <f>(C54/SUM('Population Figures'!N14:P14))*1000</f>
        <v>10.461668784413384</v>
      </c>
      <c r="R54" s="425">
        <f>(D54/'Population Figures'!N14)*1000</f>
        <v>2.1187438203305242</v>
      </c>
      <c r="S54" s="425">
        <f>(E54/'Population Figures'!N14)*1000</f>
        <v>445.26578464146144</v>
      </c>
      <c r="T54" s="280">
        <f>(F54/'Population Figures'!P14)*1000</f>
        <v>1554.6087373979838</v>
      </c>
      <c r="U54" s="425">
        <f>(G54/'Population Figures'!O14)*1000</f>
        <v>73.420945575463861</v>
      </c>
      <c r="V54" s="425">
        <f>(H54/'Population Figures'!O14)*1000</f>
        <v>232.98017227656226</v>
      </c>
      <c r="W54" s="425">
        <f>(I54/'Population Figures'!O14)*1000</f>
        <v>36.666253957585297</v>
      </c>
      <c r="X54" s="500">
        <f>(J54/'Population Figures'!O14)*1000</f>
        <v>14.839839397208907</v>
      </c>
      <c r="Y54" s="186">
        <f>(K54/'Population Figures'!O14)*1000</f>
        <v>0</v>
      </c>
      <c r="Z54" s="186">
        <f>(L54/'Population Figures'!O14)*1000</f>
        <v>0</v>
      </c>
      <c r="AA54" s="501">
        <f>(M54/'Population Figures'!O14)*1000</f>
        <v>16.307904558077013</v>
      </c>
    </row>
    <row r="55" spans="1:27">
      <c r="A55" s="7" t="s">
        <v>41</v>
      </c>
      <c r="B55" s="425">
        <v>43724</v>
      </c>
      <c r="C55" s="280">
        <v>1569</v>
      </c>
      <c r="D55" s="425">
        <v>0</v>
      </c>
      <c r="E55" s="425">
        <v>5637</v>
      </c>
      <c r="F55" s="280">
        <v>17069</v>
      </c>
      <c r="G55" s="425">
        <v>7587</v>
      </c>
      <c r="H55" s="425">
        <v>8117</v>
      </c>
      <c r="I55" s="425">
        <v>992</v>
      </c>
      <c r="J55" s="425">
        <v>1380</v>
      </c>
      <c r="K55" s="280">
        <v>0</v>
      </c>
      <c r="L55" s="280">
        <v>8</v>
      </c>
      <c r="M55" s="280">
        <v>1365</v>
      </c>
      <c r="N55" s="233"/>
      <c r="O55" s="7" t="s">
        <v>41</v>
      </c>
      <c r="P55" s="425">
        <f>(B55*1000)/SUM('Population Figures'!$N15:$P15)</f>
        <v>489.84987676450817</v>
      </c>
      <c r="Q55" s="280">
        <f>(C55/SUM('Population Figures'!N15:P15))*1000</f>
        <v>17.577862424378221</v>
      </c>
      <c r="R55" s="425">
        <f>(D55/'Population Figures'!N15)*1000</f>
        <v>0</v>
      </c>
      <c r="S55" s="425">
        <f>(E55/'Population Figures'!N15)*1000</f>
        <v>274.10649161196204</v>
      </c>
      <c r="T55" s="280">
        <f>(F55/'Population Figures'!P15)*1000</f>
        <v>1111.5524876269862</v>
      </c>
      <c r="U55" s="425">
        <f>(G55/'Population Figures'!O15)*1000</f>
        <v>142.24113687920658</v>
      </c>
      <c r="V55" s="425">
        <f>(H55/'Population Figures'!O15)*1000</f>
        <v>152.17758113200472</v>
      </c>
      <c r="W55" s="425">
        <f>(I55/'Population Figures'!O15)*1000</f>
        <v>18.598023959954254</v>
      </c>
      <c r="X55" s="500">
        <f>(J55/'Population Figures'!O15)*1000</f>
        <v>25.872251073323461</v>
      </c>
      <c r="Y55" s="186">
        <f>(K55/'Population Figures'!O15)*1000</f>
        <v>0</v>
      </c>
      <c r="Z55" s="186">
        <f>(L55/'Population Figures'!O15)*1000</f>
        <v>0.14998406419317947</v>
      </c>
      <c r="AA55" s="501">
        <f>(M55/'Population Figures'!O15)*1000</f>
        <v>25.591030952961248</v>
      </c>
    </row>
    <row r="56" spans="1:27">
      <c r="A56" s="7" t="s">
        <v>140</v>
      </c>
      <c r="B56" s="425">
        <v>295071</v>
      </c>
      <c r="C56" s="280">
        <v>1078</v>
      </c>
      <c r="D56" s="425">
        <v>192</v>
      </c>
      <c r="E56" s="425">
        <v>77524</v>
      </c>
      <c r="F56" s="280">
        <v>125653</v>
      </c>
      <c r="G56" s="425">
        <v>18505</v>
      </c>
      <c r="H56" s="425">
        <v>40057</v>
      </c>
      <c r="I56" s="425">
        <v>12916</v>
      </c>
      <c r="J56" s="425">
        <v>3827</v>
      </c>
      <c r="K56" s="280">
        <v>1590</v>
      </c>
      <c r="L56" s="280">
        <v>322</v>
      </c>
      <c r="M56" s="280">
        <v>13407</v>
      </c>
      <c r="N56" s="233"/>
      <c r="O56" s="7" t="s">
        <v>140</v>
      </c>
      <c r="P56" s="425">
        <f>(B56*1000)/SUM('Population Figures'!$N16:$P16)</f>
        <v>630.39929925011211</v>
      </c>
      <c r="Q56" s="280">
        <f>(C56/SUM('Population Figures'!N16:P16))*1000</f>
        <v>2.3030743264896274</v>
      </c>
      <c r="R56" s="425">
        <f>(D56/'Population Figures'!N16)*1000</f>
        <v>2.3950303121023877</v>
      </c>
      <c r="S56" s="425">
        <f>(E56/'Population Figures'!N16)*1000</f>
        <v>967.04338497617448</v>
      </c>
      <c r="T56" s="280">
        <f>(F56/'Population Figures'!P16)*1000</f>
        <v>1837.7844731761538</v>
      </c>
      <c r="U56" s="425">
        <f>(G56/'Population Figures'!O16)*1000</f>
        <v>57.912822502910508</v>
      </c>
      <c r="V56" s="425">
        <f>(H56/'Population Figures'!O16)*1000</f>
        <v>125.36146614423593</v>
      </c>
      <c r="W56" s="425">
        <f>(I56/'Population Figures'!O16)*1000</f>
        <v>40.421616614298408</v>
      </c>
      <c r="X56" s="500">
        <f>(J56/'Population Figures'!O16)*1000</f>
        <v>11.976891203384952</v>
      </c>
      <c r="Y56" s="186">
        <f>(K56/'Population Figures'!O16)*1000</f>
        <v>4.9760274401311921</v>
      </c>
      <c r="Z56" s="186">
        <f>(L56/'Population Figures'!O16)*1000</f>
        <v>1.0077237960517258</v>
      </c>
      <c r="AA56" s="501">
        <f>(M56/'Population Figures'!O16)*1000</f>
        <v>41.958238924426972</v>
      </c>
    </row>
    <row r="57" spans="1:27">
      <c r="A57" s="7" t="s">
        <v>42</v>
      </c>
      <c r="B57" s="425">
        <v>23140</v>
      </c>
      <c r="C57" s="280">
        <v>312</v>
      </c>
      <c r="D57" s="425">
        <v>46</v>
      </c>
      <c r="E57" s="425">
        <v>2841</v>
      </c>
      <c r="F57" s="280">
        <v>14361</v>
      </c>
      <c r="G57" s="425">
        <v>1119</v>
      </c>
      <c r="H57" s="425">
        <v>3215</v>
      </c>
      <c r="I57" s="425">
        <v>888</v>
      </c>
      <c r="J57" s="425">
        <v>105</v>
      </c>
      <c r="K57" s="280">
        <v>0</v>
      </c>
      <c r="L57" s="280">
        <v>0</v>
      </c>
      <c r="M57" s="280">
        <v>253</v>
      </c>
      <c r="N57" s="233"/>
      <c r="O57" s="7" t="s">
        <v>42</v>
      </c>
      <c r="P57" s="425">
        <f>(B57*1000)/SUM('Population Figures'!$N17:$P17)</f>
        <v>879.8479087452472</v>
      </c>
      <c r="Q57" s="280">
        <f>(C57/SUM('Population Figures'!N17:P17))*1000</f>
        <v>11.863117870722434</v>
      </c>
      <c r="R57" s="425">
        <f>(D57/'Population Figures'!N17)*1000</f>
        <v>8.6710650329877463</v>
      </c>
      <c r="S57" s="425">
        <f>(E57/'Population Figures'!N17)*1000</f>
        <v>535.53251649387369</v>
      </c>
      <c r="T57" s="280">
        <f>(F57/'Population Figures'!P17)*1000</f>
        <v>2640.8606105185731</v>
      </c>
      <c r="U57" s="425">
        <f>(G57/'Population Figures'!O17)*1000</f>
        <v>71.929035161020764</v>
      </c>
      <c r="V57" s="425">
        <f>(H57/'Population Figures'!O17)*1000</f>
        <v>206.65938162884876</v>
      </c>
      <c r="W57" s="425">
        <f>(I57/'Population Figures'!O17)*1000</f>
        <v>57.080413961560708</v>
      </c>
      <c r="X57" s="500">
        <f>(J57/'Population Figures'!O17)*1000</f>
        <v>6.7493732724818409</v>
      </c>
      <c r="Y57" s="186">
        <f>(K57/'Population Figures'!O17)*1000</f>
        <v>0</v>
      </c>
      <c r="Z57" s="186">
        <f>(L57/'Population Figures'!O17)*1000</f>
        <v>0</v>
      </c>
      <c r="AA57" s="501">
        <f>(M57/'Population Figures'!O17)*1000</f>
        <v>16.262775599408627</v>
      </c>
    </row>
    <row r="58" spans="1:27">
      <c r="A58" s="7" t="s">
        <v>43</v>
      </c>
      <c r="B58" s="425">
        <v>87394</v>
      </c>
      <c r="C58" s="280">
        <v>234</v>
      </c>
      <c r="D58" s="425">
        <v>50</v>
      </c>
      <c r="E58" s="425">
        <v>21346</v>
      </c>
      <c r="F58" s="280">
        <v>40965</v>
      </c>
      <c r="G58" s="425">
        <v>6520</v>
      </c>
      <c r="H58" s="425">
        <v>11998</v>
      </c>
      <c r="I58" s="425">
        <v>3346</v>
      </c>
      <c r="J58" s="425">
        <v>134</v>
      </c>
      <c r="K58" s="280">
        <v>2</v>
      </c>
      <c r="L58" s="280">
        <v>0</v>
      </c>
      <c r="M58" s="280">
        <v>2799</v>
      </c>
      <c r="N58" s="233"/>
      <c r="O58" s="7" t="s">
        <v>43</v>
      </c>
      <c r="P58" s="425">
        <f>(B58*1000)/SUM('Population Figures'!$N18:$P18)</f>
        <v>579.84341825902334</v>
      </c>
      <c r="Q58" s="280">
        <f>(C58/SUM('Population Figures'!N18:P18))*1000</f>
        <v>1.552547770700637</v>
      </c>
      <c r="R58" s="425">
        <f>(D58/'Population Figures'!N18)*1000</f>
        <v>1.5555486420060354</v>
      </c>
      <c r="S58" s="425">
        <f>(E58/'Population Figures'!N18)*1000</f>
        <v>664.09482624521661</v>
      </c>
      <c r="T58" s="280">
        <f>(F58/'Population Figures'!P18)*1000</f>
        <v>1718.2584623128225</v>
      </c>
      <c r="U58" s="425">
        <f>(G58/'Population Figures'!O18)*1000</f>
        <v>68.822833980746495</v>
      </c>
      <c r="V58" s="425">
        <f>(H58/'Population Figures'!O18)*1000</f>
        <v>126.6466813038338</v>
      </c>
      <c r="W58" s="425">
        <f>(I58/'Population Figures'!O18)*1000</f>
        <v>35.319202837358553</v>
      </c>
      <c r="X58" s="500">
        <f>(J58/'Population Figures'!O18)*1000</f>
        <v>1.4144570173957101</v>
      </c>
      <c r="Y58" s="186">
        <f>(K58/'Population Figures'!O18)*1000</f>
        <v>2.1111298767100151E-2</v>
      </c>
      <c r="Z58" s="186">
        <f>(L58/'Population Figures'!O18)*1000</f>
        <v>0</v>
      </c>
      <c r="AA58" s="501">
        <f>(M58/'Population Figures'!O18)*1000</f>
        <v>29.545262624556663</v>
      </c>
    </row>
    <row r="59" spans="1:27">
      <c r="A59" s="7" t="s">
        <v>44</v>
      </c>
      <c r="B59" s="425">
        <v>199976</v>
      </c>
      <c r="C59" s="280">
        <v>731</v>
      </c>
      <c r="D59" s="425">
        <v>193</v>
      </c>
      <c r="E59" s="425">
        <v>36488</v>
      </c>
      <c r="F59" s="280">
        <v>93161</v>
      </c>
      <c r="G59" s="425">
        <v>17358</v>
      </c>
      <c r="H59" s="425">
        <v>37202</v>
      </c>
      <c r="I59" s="425">
        <v>7650</v>
      </c>
      <c r="J59" s="425">
        <v>822</v>
      </c>
      <c r="K59" s="280">
        <v>100</v>
      </c>
      <c r="L59" s="280">
        <v>0</v>
      </c>
      <c r="M59" s="280">
        <v>6271</v>
      </c>
      <c r="N59" s="233"/>
      <c r="O59" s="7" t="s">
        <v>44</v>
      </c>
      <c r="P59" s="425">
        <f>(B59*1000)/SUM('Population Figures'!$N19:$P19)</f>
        <v>554.71844660194176</v>
      </c>
      <c r="Q59" s="280">
        <f>(C59/SUM('Population Figures'!N19:P19))*1000</f>
        <v>2.0277392510402219</v>
      </c>
      <c r="R59" s="425">
        <f>(D59/'Population Figures'!N19)*1000</f>
        <v>2.5982068334185944</v>
      </c>
      <c r="S59" s="425">
        <f>(E59/'Population Figures'!N19)*1000</f>
        <v>491.20917584340754</v>
      </c>
      <c r="T59" s="280">
        <f>(F59/'Population Figures'!P19)*1000</f>
        <v>1536.0175429918713</v>
      </c>
      <c r="U59" s="425">
        <f>(G59/'Population Figures'!O19)*1000</f>
        <v>76.952745747383261</v>
      </c>
      <c r="V59" s="425">
        <f>(H59/'Population Figures'!O19)*1000</f>
        <v>164.92660717214841</v>
      </c>
      <c r="W59" s="425">
        <f>(I59/'Population Figures'!O19)*1000</f>
        <v>33.914535370865416</v>
      </c>
      <c r="X59" s="500">
        <f>(J59/'Population Figures'!O19)*1000</f>
        <v>3.6441500751439704</v>
      </c>
      <c r="Y59" s="186">
        <f>(K59/'Population Figures'!O19)*1000</f>
        <v>0.44332725974987475</v>
      </c>
      <c r="Z59" s="186">
        <f>(L59/'Population Figures'!O19)*1000</f>
        <v>0</v>
      </c>
      <c r="AA59" s="501">
        <f>(M59/'Population Figures'!O19)*1000</f>
        <v>27.801052458914647</v>
      </c>
    </row>
    <row r="60" spans="1:27">
      <c r="A60" s="7" t="s">
        <v>45</v>
      </c>
      <c r="B60" s="425">
        <v>496131</v>
      </c>
      <c r="C60" s="280">
        <v>3144</v>
      </c>
      <c r="D60" s="425">
        <v>326</v>
      </c>
      <c r="E60" s="425">
        <v>127334</v>
      </c>
      <c r="F60" s="280">
        <v>212097</v>
      </c>
      <c r="G60" s="425">
        <v>32601</v>
      </c>
      <c r="H60" s="425">
        <v>59256</v>
      </c>
      <c r="I60" s="425">
        <v>24468</v>
      </c>
      <c r="J60" s="425">
        <v>17317</v>
      </c>
      <c r="K60" s="280">
        <v>48</v>
      </c>
      <c r="L60" s="280">
        <v>2665</v>
      </c>
      <c r="M60" s="280">
        <v>16875</v>
      </c>
      <c r="N60" s="233"/>
      <c r="O60" s="7" t="s">
        <v>45</v>
      </c>
      <c r="P60" s="425">
        <f>(B60*1000)/SUM('Population Figures'!$N20:$P20)</f>
        <v>852.54665429425711</v>
      </c>
      <c r="Q60" s="280">
        <f>(C60/SUM('Population Figures'!N20:P20))*1000</f>
        <v>5.4026188266831632</v>
      </c>
      <c r="R60" s="425">
        <f>(D60/'Population Figures'!N20)*1000</f>
        <v>2.9472656426576016</v>
      </c>
      <c r="S60" s="425">
        <f>(E60/'Population Figures'!N20)*1000</f>
        <v>1151.1874949146106</v>
      </c>
      <c r="T60" s="280">
        <f>(F60/'Population Figures'!P20)*1000</f>
        <v>2547.5893050183777</v>
      </c>
      <c r="U60" s="425">
        <f>(G60/'Population Figures'!O20)*1000</f>
        <v>84.006957418024868</v>
      </c>
      <c r="V60" s="425">
        <f>(H60/'Population Figures'!O20)*1000</f>
        <v>152.69213425239965</v>
      </c>
      <c r="W60" s="425">
        <f>(I60/'Population Figures'!O20)*1000</f>
        <v>63.049668234233067</v>
      </c>
      <c r="X60" s="500">
        <f>(J60/'Population Figures'!O20)*1000</f>
        <v>44.622817754300065</v>
      </c>
      <c r="Y60" s="186">
        <f>(K60/'Population Figures'!O20)*1000</f>
        <v>0.12368743155317916</v>
      </c>
      <c r="Z60" s="186">
        <f>(L60/'Population Figures'!O20)*1000</f>
        <v>6.8672292726921347</v>
      </c>
      <c r="AA60" s="501">
        <f>(M60/'Population Figures'!O20)*1000</f>
        <v>43.483862655414548</v>
      </c>
    </row>
    <row r="61" spans="1:27">
      <c r="A61" s="7" t="s">
        <v>46</v>
      </c>
      <c r="B61" s="425">
        <v>134528</v>
      </c>
      <c r="C61" s="280">
        <v>400</v>
      </c>
      <c r="D61" s="425">
        <v>153</v>
      </c>
      <c r="E61" s="425">
        <v>23658</v>
      </c>
      <c r="F61" s="280">
        <v>68628</v>
      </c>
      <c r="G61" s="425">
        <v>7588</v>
      </c>
      <c r="H61" s="425">
        <v>22303</v>
      </c>
      <c r="I61" s="425">
        <v>7393</v>
      </c>
      <c r="J61" s="425">
        <v>1116</v>
      </c>
      <c r="K61" s="280">
        <v>0</v>
      </c>
      <c r="L61" s="280">
        <v>0</v>
      </c>
      <c r="M61" s="280">
        <v>3289</v>
      </c>
      <c r="N61" s="233"/>
      <c r="O61" s="7" t="s">
        <v>46</v>
      </c>
      <c r="P61" s="425">
        <f>(B61*1000)/SUM('Population Figures'!$N21:$P21)</f>
        <v>618.69021339220012</v>
      </c>
      <c r="Q61" s="280">
        <f>(C61/SUM('Population Figures'!N21:P21))*1000</f>
        <v>1.8395879323031641</v>
      </c>
      <c r="R61" s="425">
        <f>(D61/'Population Figures'!N21)*1000</f>
        <v>3.4218236307114265</v>
      </c>
      <c r="S61" s="425">
        <f>(E61/'Population Figures'!N21)*1000</f>
        <v>529.10786572137863</v>
      </c>
      <c r="T61" s="280">
        <f>(F61/'Population Figures'!P21)*1000</f>
        <v>1767.5329023617585</v>
      </c>
      <c r="U61" s="425">
        <f>(G61/'Population Figures'!O21)*1000</f>
        <v>56.669156086631816</v>
      </c>
      <c r="V61" s="425">
        <f>(H61/'Population Figures'!O21)*1000</f>
        <v>166.5646004480956</v>
      </c>
      <c r="W61" s="425">
        <f>(I61/'Population Figures'!O21)*1000</f>
        <v>55.212845407020161</v>
      </c>
      <c r="X61" s="500">
        <f>(J61/'Population Figures'!O21)*1000</f>
        <v>8.334578043315906</v>
      </c>
      <c r="Y61" s="186">
        <f>(K61/'Population Figures'!O21)*1000</f>
        <v>0</v>
      </c>
      <c r="Z61" s="186">
        <f>(L61/'Population Figures'!O21)*1000</f>
        <v>0</v>
      </c>
      <c r="AA61" s="501">
        <f>(M61/'Population Figures'!O21)*1000</f>
        <v>24.563106796116504</v>
      </c>
    </row>
    <row r="62" spans="1:27">
      <c r="A62" s="7" t="s">
        <v>47</v>
      </c>
      <c r="B62" s="425">
        <v>58464</v>
      </c>
      <c r="C62" s="280">
        <v>301</v>
      </c>
      <c r="D62" s="425">
        <v>25</v>
      </c>
      <c r="E62" s="425">
        <v>13175</v>
      </c>
      <c r="F62" s="280">
        <v>28519</v>
      </c>
      <c r="G62" s="425">
        <v>3100</v>
      </c>
      <c r="H62" s="425">
        <v>7716</v>
      </c>
      <c r="I62" s="425">
        <v>2638</v>
      </c>
      <c r="J62" s="425">
        <v>905</v>
      </c>
      <c r="K62" s="280">
        <v>0</v>
      </c>
      <c r="L62" s="280">
        <v>0</v>
      </c>
      <c r="M62" s="280">
        <v>2085</v>
      </c>
      <c r="N62" s="233"/>
      <c r="O62" s="7" t="s">
        <v>47</v>
      </c>
      <c r="P62" s="425">
        <f>(B62*1000)/SUM('Population Figures'!$N22:$P22)</f>
        <v>721.06561420818946</v>
      </c>
      <c r="Q62" s="280">
        <f>(C62/SUM('Population Figures'!N22:P22))*1000</f>
        <v>3.7123828317710901</v>
      </c>
      <c r="R62" s="425">
        <f>(D62/'Population Figures'!N22)*1000</f>
        <v>1.5069318866787222</v>
      </c>
      <c r="S62" s="425">
        <f>(E62/'Population Figures'!N22)*1000</f>
        <v>794.15310427968654</v>
      </c>
      <c r="T62" s="280">
        <f>(F62/'Population Figures'!P22)*1000</f>
        <v>2020.6178262717872</v>
      </c>
      <c r="U62" s="425">
        <f>(G62/'Population Figures'!O22)*1000</f>
        <v>61.537239955534382</v>
      </c>
      <c r="V62" s="425">
        <f>(H62/'Population Figures'!O22)*1000</f>
        <v>153.16817532158169</v>
      </c>
      <c r="W62" s="425">
        <f>(I62/'Population Figures'!O22)*1000</f>
        <v>52.366206129903127</v>
      </c>
      <c r="X62" s="500">
        <f>(J62/'Population Figures'!O22)*1000</f>
        <v>17.964903922502781</v>
      </c>
      <c r="Y62" s="186">
        <f>(K62/'Population Figures'!O22)*1000</f>
        <v>0</v>
      </c>
      <c r="Z62" s="186">
        <f>(L62/'Population Figures'!O22)*1000</f>
        <v>0</v>
      </c>
      <c r="AA62" s="501">
        <f>(M62/'Population Figures'!O22)*1000</f>
        <v>41.388756550738449</v>
      </c>
    </row>
    <row r="63" spans="1:27">
      <c r="A63" s="7" t="s">
        <v>48</v>
      </c>
      <c r="B63" s="425">
        <v>48927</v>
      </c>
      <c r="C63" s="280">
        <v>928</v>
      </c>
      <c r="D63" s="425">
        <v>47</v>
      </c>
      <c r="E63" s="425">
        <v>11302</v>
      </c>
      <c r="F63" s="280">
        <v>20800</v>
      </c>
      <c r="G63" s="425">
        <v>2954</v>
      </c>
      <c r="H63" s="425">
        <v>9360</v>
      </c>
      <c r="I63" s="425">
        <v>1991</v>
      </c>
      <c r="J63" s="425">
        <v>549</v>
      </c>
      <c r="K63" s="280">
        <v>9</v>
      </c>
      <c r="L63" s="280">
        <v>3</v>
      </c>
      <c r="M63" s="280">
        <v>984</v>
      </c>
      <c r="N63" s="233"/>
      <c r="O63" s="7" t="s">
        <v>48</v>
      </c>
      <c r="P63" s="425">
        <f>(B63*1000)/SUM('Population Figures'!$N23:$P23)</f>
        <v>615.35655892340583</v>
      </c>
      <c r="Q63" s="280">
        <f>(C63/SUM('Population Figures'!N23:P23))*1000</f>
        <v>11.671487863161866</v>
      </c>
      <c r="R63" s="425">
        <f>(D63/'Population Figures'!N23)*1000</f>
        <v>2.6642480585000849</v>
      </c>
      <c r="S63" s="425">
        <f>(E63/'Population Figures'!N23)*1000</f>
        <v>640.66662887591406</v>
      </c>
      <c r="T63" s="280">
        <f>(F63/'Population Figures'!P23)*1000</f>
        <v>1628.5624804259319</v>
      </c>
      <c r="U63" s="425">
        <f>(G63/'Population Figures'!O23)*1000</f>
        <v>60.166608957777456</v>
      </c>
      <c r="V63" s="425">
        <f>(H63/'Population Figures'!O23)*1000</f>
        <v>190.64301281137341</v>
      </c>
      <c r="W63" s="425">
        <f>(I63/'Population Figures'!O23)*1000</f>
        <v>40.55237590891501</v>
      </c>
      <c r="X63" s="500">
        <f>(J63/'Population Figures'!O23)*1000</f>
        <v>11.181945943744017</v>
      </c>
      <c r="Y63" s="186">
        <f>(K63/'Population Figures'!O23)*1000</f>
        <v>0.18331058924170518</v>
      </c>
      <c r="Z63" s="186">
        <f>(L63/'Population Figures'!O23)*1000</f>
        <v>6.1103529747235069E-2</v>
      </c>
      <c r="AA63" s="501">
        <f>(M63/'Population Figures'!O23)*1000</f>
        <v>20.041957757093101</v>
      </c>
    </row>
    <row r="64" spans="1:27">
      <c r="A64" s="7" t="s">
        <v>49</v>
      </c>
      <c r="B64" s="425">
        <v>45063</v>
      </c>
      <c r="C64" s="280">
        <v>375</v>
      </c>
      <c r="D64" s="425">
        <v>58</v>
      </c>
      <c r="E64" s="425">
        <v>10624</v>
      </c>
      <c r="F64" s="280">
        <v>19981</v>
      </c>
      <c r="G64" s="425">
        <v>3127</v>
      </c>
      <c r="H64" s="425">
        <v>7880</v>
      </c>
      <c r="I64" s="425">
        <v>2196</v>
      </c>
      <c r="J64" s="425">
        <v>273</v>
      </c>
      <c r="K64" s="280">
        <v>0</v>
      </c>
      <c r="L64" s="280">
        <v>0</v>
      </c>
      <c r="M64" s="280">
        <v>549</v>
      </c>
      <c r="N64" s="233"/>
      <c r="O64" s="7" t="s">
        <v>49</v>
      </c>
      <c r="P64" s="425">
        <f>(B64*1000)/SUM('Population Figures'!$N24:$P24)</f>
        <v>518.74064694370895</v>
      </c>
      <c r="Q64" s="280">
        <f>(C64/SUM('Population Figures'!N24:P24))*1000</f>
        <v>4.3167952112351786</v>
      </c>
      <c r="R64" s="425">
        <f>(D64/'Population Figures'!N24)*1000</f>
        <v>3.1933050707482247</v>
      </c>
      <c r="S64" s="425">
        <f>(E64/'Population Figures'!N24)*1000</f>
        <v>584.92539778670925</v>
      </c>
      <c r="T64" s="280">
        <f>(F64/'Population Figures'!P24)*1000</f>
        <v>1284.2084966900186</v>
      </c>
      <c r="U64" s="425">
        <f>(G64/'Population Figures'!O24)*1000</f>
        <v>58.835704071648983</v>
      </c>
      <c r="V64" s="425">
        <f>(H64/'Population Figures'!O24)*1000</f>
        <v>148.26522164521714</v>
      </c>
      <c r="W64" s="425">
        <f>(I64/'Population Figures'!O24)*1000</f>
        <v>41.31858207270264</v>
      </c>
      <c r="X64" s="500">
        <f>(J64/'Population Figures'!O24)*1000</f>
        <v>5.136599683901558</v>
      </c>
      <c r="Y64" s="186">
        <f>(K64/'Population Figures'!O24)*1000</f>
        <v>0</v>
      </c>
      <c r="Z64" s="186">
        <f>(L64/'Population Figures'!O24)*1000</f>
        <v>0</v>
      </c>
      <c r="AA64" s="501">
        <f>(M64/'Population Figures'!O24)*1000</f>
        <v>10.32964551817566</v>
      </c>
    </row>
    <row r="65" spans="1:27">
      <c r="A65" s="7" t="s">
        <v>50</v>
      </c>
      <c r="B65" s="425">
        <v>79906</v>
      </c>
      <c r="C65" s="280">
        <v>697</v>
      </c>
      <c r="D65" s="425">
        <v>188</v>
      </c>
      <c r="E65" s="425">
        <v>19295</v>
      </c>
      <c r="F65" s="280">
        <v>36116</v>
      </c>
      <c r="G65" s="425">
        <v>3828</v>
      </c>
      <c r="H65" s="425">
        <v>13378</v>
      </c>
      <c r="I65" s="425">
        <v>2765</v>
      </c>
      <c r="J65" s="425">
        <v>1274</v>
      </c>
      <c r="K65" s="280">
        <v>0</v>
      </c>
      <c r="L65" s="280">
        <v>0</v>
      </c>
      <c r="M65" s="280">
        <v>2365</v>
      </c>
      <c r="N65" s="233"/>
      <c r="O65" s="7" t="s">
        <v>50</v>
      </c>
      <c r="P65" s="425">
        <f>(B65*1000)/SUM('Population Figures'!$N25:$P25)</f>
        <v>588.5827931644078</v>
      </c>
      <c r="Q65" s="280">
        <f>(C65/SUM('Population Figures'!N25:P25))*1000</f>
        <v>5.1340601060695343</v>
      </c>
      <c r="R65" s="425">
        <f>(D65/'Population Figures'!N25)*1000</f>
        <v>6.5596650383810191</v>
      </c>
      <c r="S65" s="425">
        <f>(E65/'Population Figures'!N25)*1000</f>
        <v>673.23796231681786</v>
      </c>
      <c r="T65" s="280">
        <f>(F65/'Population Figures'!P25)*1000</f>
        <v>1506.2768486466196</v>
      </c>
      <c r="U65" s="425">
        <f>(G65/'Population Figures'!O25)*1000</f>
        <v>46.052235843268413</v>
      </c>
      <c r="V65" s="425">
        <f>(H65/'Population Figures'!O25)*1000</f>
        <v>160.94221815863239</v>
      </c>
      <c r="W65" s="425">
        <f>(I65/'Population Figures'!O25)*1000</f>
        <v>33.263958230573969</v>
      </c>
      <c r="X65" s="500">
        <f>(J65/'Population Figures'!O25)*1000</f>
        <v>15.326684551808766</v>
      </c>
      <c r="Y65" s="186">
        <f>(K65/'Population Figures'!O25)*1000</f>
        <v>0</v>
      </c>
      <c r="Z65" s="186">
        <f>(L65/'Population Figures'!O25)*1000</f>
        <v>0</v>
      </c>
      <c r="AA65" s="501">
        <f>(M65/'Population Figures'!O25)*1000</f>
        <v>28.451812374433068</v>
      </c>
    </row>
    <row r="66" spans="1:27">
      <c r="A66" s="7" t="s">
        <v>51</v>
      </c>
      <c r="B66" s="425">
        <v>184091</v>
      </c>
      <c r="C66" s="280">
        <v>788</v>
      </c>
      <c r="D66" s="425">
        <v>61</v>
      </c>
      <c r="E66" s="425">
        <v>26955</v>
      </c>
      <c r="F66" s="280">
        <v>90725</v>
      </c>
      <c r="G66" s="425">
        <v>5543</v>
      </c>
      <c r="H66" s="425">
        <v>44516</v>
      </c>
      <c r="I66" s="425">
        <v>7505</v>
      </c>
      <c r="J66" s="425">
        <v>2572</v>
      </c>
      <c r="K66" s="280">
        <v>0</v>
      </c>
      <c r="L66" s="280">
        <v>11</v>
      </c>
      <c r="M66" s="280">
        <v>5415</v>
      </c>
      <c r="N66" s="233"/>
      <c r="O66" s="7" t="s">
        <v>51</v>
      </c>
      <c r="P66" s="425">
        <f>(B66*1000)/SUM('Population Figures'!$N26:$P26)</f>
        <v>566.99211531353944</v>
      </c>
      <c r="Q66" s="280">
        <f>(C66/SUM('Population Figures'!N26:P26))*1000</f>
        <v>2.4270050511272636</v>
      </c>
      <c r="R66" s="425">
        <f>(D66/'Population Figures'!N26)*1000</f>
        <v>0.84761071046451841</v>
      </c>
      <c r="S66" s="425">
        <f>(E66/'Population Figures'!N26)*1000</f>
        <v>374.54666722247697</v>
      </c>
      <c r="T66" s="280">
        <f>(F66/'Population Figures'!P26)*1000</f>
        <v>1911.6500558376704</v>
      </c>
      <c r="U66" s="425">
        <f>(G66/'Population Figures'!O26)*1000</f>
        <v>27.005563837976361</v>
      </c>
      <c r="V66" s="425">
        <f>(H66/'Population Figures'!O26)*1000</f>
        <v>216.88249680883197</v>
      </c>
      <c r="W66" s="425">
        <f>(I66/'Population Figures'!O26)*1000</f>
        <v>36.564451849903051</v>
      </c>
      <c r="X66" s="500">
        <f>(J66/'Population Figures'!O26)*1000</f>
        <v>12.530815477408479</v>
      </c>
      <c r="Y66" s="186">
        <f>(K66/'Population Figures'!O26)*1000</f>
        <v>0</v>
      </c>
      <c r="Z66" s="186">
        <f>(L66/'Population Figures'!O26)*1000</f>
        <v>5.3592134623442172E-2</v>
      </c>
      <c r="AA66" s="501">
        <f>(M66/'Population Figures'!O26)*1000</f>
        <v>26.381946271449035</v>
      </c>
    </row>
    <row r="67" spans="1:27">
      <c r="A67" s="7" t="s">
        <v>52</v>
      </c>
      <c r="B67" s="425">
        <v>16789</v>
      </c>
      <c r="C67" s="280">
        <v>885</v>
      </c>
      <c r="D67" s="425">
        <v>64</v>
      </c>
      <c r="E67" s="425">
        <v>2611</v>
      </c>
      <c r="F67" s="280">
        <v>9689</v>
      </c>
      <c r="G67" s="425">
        <v>891</v>
      </c>
      <c r="H67" s="425">
        <v>1854</v>
      </c>
      <c r="I67" s="425">
        <v>738</v>
      </c>
      <c r="J67" s="425">
        <v>53</v>
      </c>
      <c r="K67" s="280">
        <v>0</v>
      </c>
      <c r="L67" s="280">
        <v>0</v>
      </c>
      <c r="M67" s="280">
        <v>4</v>
      </c>
      <c r="N67" s="233"/>
      <c r="O67" s="7" t="s">
        <v>52</v>
      </c>
      <c r="P67" s="425">
        <f>(B67*1000)/SUM('Population Figures'!$N27:$P27)</f>
        <v>845.36757301107752</v>
      </c>
      <c r="Q67" s="280">
        <f>(C67/SUM('Population Figures'!N27:P27))*1000</f>
        <v>44.561933534743197</v>
      </c>
      <c r="R67" s="425">
        <f>(D67/'Population Figures'!N27)*1000</f>
        <v>15.609756097560975</v>
      </c>
      <c r="S67" s="425">
        <f>(E67/'Population Figures'!N27)*1000</f>
        <v>636.82926829268297</v>
      </c>
      <c r="T67" s="280">
        <f>(F67/'Population Figures'!P27)*1000</f>
        <v>2620.7736002163915</v>
      </c>
      <c r="U67" s="425">
        <f>(G67/'Population Figures'!O27)*1000</f>
        <v>73.862223327530472</v>
      </c>
      <c r="V67" s="425">
        <f>(H67/'Population Figures'!O27)*1000</f>
        <v>153.69311116637653</v>
      </c>
      <c r="W67" s="425">
        <f>(I67/'Population Figures'!O27)*1000</f>
        <v>61.178811240984828</v>
      </c>
      <c r="X67" s="500">
        <f>(J67/'Population Figures'!O27)*1000</f>
        <v>4.3936002652739781</v>
      </c>
      <c r="Y67" s="186">
        <f>(K67/'Population Figures'!O27)*1000</f>
        <v>0</v>
      </c>
      <c r="Z67" s="186">
        <f>(L67/'Population Figures'!O27)*1000</f>
        <v>0</v>
      </c>
      <c r="AA67" s="501">
        <f>(M67/'Population Figures'!O27)*1000</f>
        <v>0.33159247285086629</v>
      </c>
    </row>
    <row r="68" spans="1:27">
      <c r="A68" s="7" t="s">
        <v>53</v>
      </c>
      <c r="B68" s="425">
        <v>77135</v>
      </c>
      <c r="C68" s="280">
        <v>487</v>
      </c>
      <c r="D68" s="425">
        <v>0</v>
      </c>
      <c r="E68" s="425">
        <v>13581</v>
      </c>
      <c r="F68" s="280">
        <v>41462</v>
      </c>
      <c r="G68" s="425">
        <v>2100</v>
      </c>
      <c r="H68" s="425">
        <v>12801</v>
      </c>
      <c r="I68" s="425">
        <v>3910</v>
      </c>
      <c r="J68" s="425">
        <v>796</v>
      </c>
      <c r="K68" s="280">
        <v>0</v>
      </c>
      <c r="L68" s="280">
        <v>0</v>
      </c>
      <c r="M68" s="280">
        <v>1998</v>
      </c>
      <c r="N68" s="233"/>
      <c r="O68" s="7" t="s">
        <v>53</v>
      </c>
      <c r="P68" s="425">
        <f>(B68*1000)/SUM('Population Figures'!$N28:$P28)</f>
        <v>542.66919938089211</v>
      </c>
      <c r="Q68" s="280">
        <f>(C68/SUM('Population Figures'!N28:P28))*1000</f>
        <v>3.426199521598424</v>
      </c>
      <c r="R68" s="425">
        <f>(D68/'Population Figures'!N28)*1000</f>
        <v>0</v>
      </c>
      <c r="S68" s="425">
        <f>(E68/'Population Figures'!N28)*1000</f>
        <v>476.76051393667063</v>
      </c>
      <c r="T68" s="280">
        <f>(F68/'Population Figures'!P28)*1000</f>
        <v>1509.5205155277242</v>
      </c>
      <c r="U68" s="425">
        <f>(G68/'Population Figures'!O28)*1000</f>
        <v>24.365623585923633</v>
      </c>
      <c r="V68" s="425">
        <f>(H68/'Population Figures'!O28)*1000</f>
        <v>148.52587977305163</v>
      </c>
      <c r="W68" s="425">
        <f>(I68/'Population Figures'!O28)*1000</f>
        <v>45.366470581410191</v>
      </c>
      <c r="X68" s="500">
        <f>(J68/'Population Figures'!O28)*1000</f>
        <v>9.2357316068548627</v>
      </c>
      <c r="Y68" s="186">
        <f>(K68/'Population Figures'!O28)*1000</f>
        <v>0</v>
      </c>
      <c r="Z68" s="186">
        <f>(L68/'Population Figures'!O28)*1000</f>
        <v>0</v>
      </c>
      <c r="AA68" s="501">
        <f>(M68/'Population Figures'!O28)*1000</f>
        <v>23.182150440321625</v>
      </c>
    </row>
    <row r="69" spans="1:27">
      <c r="A69" s="7" t="s">
        <v>54</v>
      </c>
      <c r="B69" s="425">
        <v>112735</v>
      </c>
      <c r="C69" s="280">
        <v>274</v>
      </c>
      <c r="D69" s="425">
        <v>0</v>
      </c>
      <c r="E69" s="425">
        <v>27005</v>
      </c>
      <c r="F69" s="280">
        <v>47306</v>
      </c>
      <c r="G69" s="425">
        <v>8424</v>
      </c>
      <c r="H69" s="425">
        <v>19012</v>
      </c>
      <c r="I69" s="425">
        <v>5426</v>
      </c>
      <c r="J69" s="425">
        <v>2109</v>
      </c>
      <c r="K69" s="280">
        <v>0</v>
      </c>
      <c r="L69" s="280">
        <v>0</v>
      </c>
      <c r="M69" s="280">
        <v>3179</v>
      </c>
      <c r="N69" s="233"/>
      <c r="O69" s="7" t="s">
        <v>54</v>
      </c>
      <c r="P69" s="425">
        <f>(B69*1000)/SUM('Population Figures'!$N29:$P29)</f>
        <v>664.71108490566041</v>
      </c>
      <c r="Q69" s="280">
        <f>(C69/SUM('Population Figures'!N29:P29))*1000</f>
        <v>1.6155660377358492</v>
      </c>
      <c r="R69" s="425">
        <f>(D69/'Population Figures'!N29)*1000</f>
        <v>0</v>
      </c>
      <c r="S69" s="425">
        <f>(E69/'Population Figures'!N29)*1000</f>
        <v>765.66487099517997</v>
      </c>
      <c r="T69" s="280">
        <f>(F69/'Population Figures'!P29)*1000</f>
        <v>1720.7813466225309</v>
      </c>
      <c r="U69" s="425">
        <f>(G69/'Population Figures'!O29)*1000</f>
        <v>78.847611827141776</v>
      </c>
      <c r="V69" s="425">
        <f>(H69/'Population Figures'!O29)*1000</f>
        <v>177.9499995320061</v>
      </c>
      <c r="W69" s="425">
        <f>(I69/'Population Figures'!O29)*1000</f>
        <v>50.786697741461452</v>
      </c>
      <c r="X69" s="500">
        <f>(J69/'Population Figures'!O29)*1000</f>
        <v>19.739982590627019</v>
      </c>
      <c r="Y69" s="186">
        <f>(K69/'Population Figures'!O29)*1000</f>
        <v>0</v>
      </c>
      <c r="Z69" s="186">
        <f>(L69/'Population Figures'!O29)*1000</f>
        <v>0</v>
      </c>
      <c r="AA69" s="501">
        <f>(M69/'Population Figures'!O29)*1000</f>
        <v>29.755051994121999</v>
      </c>
    </row>
    <row r="70" spans="1:27">
      <c r="A70" s="7" t="s">
        <v>55</v>
      </c>
      <c r="B70" s="425">
        <v>65368</v>
      </c>
      <c r="C70" s="280">
        <v>926</v>
      </c>
      <c r="D70" s="425">
        <v>38</v>
      </c>
      <c r="E70" s="425">
        <v>10535</v>
      </c>
      <c r="F70" s="280">
        <v>31312</v>
      </c>
      <c r="G70" s="425">
        <v>5023</v>
      </c>
      <c r="H70" s="425">
        <v>13314</v>
      </c>
      <c r="I70" s="425">
        <v>2541</v>
      </c>
      <c r="J70" s="425">
        <v>195</v>
      </c>
      <c r="K70" s="280">
        <v>0</v>
      </c>
      <c r="L70" s="280">
        <v>0</v>
      </c>
      <c r="M70" s="280">
        <v>1484</v>
      </c>
      <c r="N70" s="233"/>
      <c r="O70" s="7" t="s">
        <v>55</v>
      </c>
      <c r="P70" s="425">
        <f>(B70*1000)/SUM('Population Figures'!$N30:$P30)</f>
        <v>586.6283765592749</v>
      </c>
      <c r="Q70" s="280">
        <f>(C70/SUM('Population Figures'!N30:P30))*1000</f>
        <v>8.310149869873463</v>
      </c>
      <c r="R70" s="425">
        <f>(D70/'Population Figures'!N30)*1000</f>
        <v>1.6567118629288922</v>
      </c>
      <c r="S70" s="425">
        <f>(E70/'Population Figures'!N30)*1000</f>
        <v>459.30156515673366</v>
      </c>
      <c r="T70" s="280">
        <f>(F70/'Population Figures'!P30)*1000</f>
        <v>1453.6001114154403</v>
      </c>
      <c r="U70" s="425">
        <f>(G70/'Population Figures'!O30)*1000</f>
        <v>75.023897717767952</v>
      </c>
      <c r="V70" s="425">
        <f>(H70/'Population Figures'!O30)*1000</f>
        <v>198.85888397658024</v>
      </c>
      <c r="W70" s="425">
        <f>(I70/'Population Figures'!O30)*1000</f>
        <v>37.952563030230614</v>
      </c>
      <c r="X70" s="500">
        <f>(J70/'Population Figures'!O30)*1000</f>
        <v>2.9125343529692915</v>
      </c>
      <c r="Y70" s="186">
        <f>(K70/'Population Figures'!O30)*1000</f>
        <v>0</v>
      </c>
      <c r="Z70" s="186">
        <f>(L70/'Population Figures'!O30)*1000</f>
        <v>0</v>
      </c>
      <c r="AA70" s="501">
        <f>(M70/'Population Figures'!O30)*1000</f>
        <v>22.165133229776554</v>
      </c>
    </row>
    <row r="71" spans="1:27">
      <c r="A71" s="7" t="s">
        <v>56</v>
      </c>
      <c r="B71" s="425">
        <v>20443</v>
      </c>
      <c r="C71" s="280">
        <v>311</v>
      </c>
      <c r="D71" s="425">
        <v>25</v>
      </c>
      <c r="E71" s="425">
        <v>3815</v>
      </c>
      <c r="F71" s="280">
        <v>9655</v>
      </c>
      <c r="G71" s="425">
        <v>1477</v>
      </c>
      <c r="H71" s="425">
        <v>3553</v>
      </c>
      <c r="I71" s="425">
        <v>809</v>
      </c>
      <c r="J71" s="425">
        <v>326</v>
      </c>
      <c r="K71" s="280">
        <v>0</v>
      </c>
      <c r="L71" s="280">
        <v>0</v>
      </c>
      <c r="M71" s="280">
        <v>472</v>
      </c>
      <c r="N71" s="233"/>
      <c r="O71" s="7" t="s">
        <v>56</v>
      </c>
      <c r="P71" s="425">
        <f>(B71*1000)/SUM('Population Figures'!$N31:$P31)</f>
        <v>931.34396355353078</v>
      </c>
      <c r="Q71" s="280">
        <f>(C71/SUM('Population Figures'!N31:P31))*1000</f>
        <v>14.168564920273349</v>
      </c>
      <c r="R71" s="425">
        <f>(D71/'Population Figures'!N31)*1000</f>
        <v>4.9960031974420458</v>
      </c>
      <c r="S71" s="425">
        <f>(E71/'Population Figures'!N31)*1000</f>
        <v>762.39008792965626</v>
      </c>
      <c r="T71" s="280">
        <f>(F71/'Population Figures'!P31)*1000</f>
        <v>2758.5714285714284</v>
      </c>
      <c r="U71" s="425">
        <f>(G71/'Population Figures'!O31)*1000</f>
        <v>109.8467945857504</v>
      </c>
      <c r="V71" s="425">
        <f>(H71/'Population Figures'!O31)*1000</f>
        <v>264.24215380038675</v>
      </c>
      <c r="W71" s="425">
        <f>(I71/'Population Figures'!O31)*1000</f>
        <v>60.166592295106355</v>
      </c>
      <c r="X71" s="500">
        <f>(J71/'Population Figures'!O31)*1000</f>
        <v>24.245128662799345</v>
      </c>
      <c r="Y71" s="186">
        <f>(K71/'Population Figures'!O31)*1000</f>
        <v>0</v>
      </c>
      <c r="Z71" s="186">
        <f>(L71/'Population Figures'!O31)*1000</f>
        <v>0</v>
      </c>
      <c r="AA71" s="501">
        <f>(M71/'Population Figures'!O31)*1000</f>
        <v>35.103376468838313</v>
      </c>
    </row>
    <row r="72" spans="1:27">
      <c r="A72" s="7" t="s">
        <v>57</v>
      </c>
      <c r="B72" s="425">
        <v>68470</v>
      </c>
      <c r="C72" s="280">
        <v>42</v>
      </c>
      <c r="D72" s="425">
        <v>66</v>
      </c>
      <c r="E72" s="425">
        <v>15093</v>
      </c>
      <c r="F72" s="280">
        <v>34811</v>
      </c>
      <c r="G72" s="425">
        <v>2994</v>
      </c>
      <c r="H72" s="425">
        <v>11291</v>
      </c>
      <c r="I72" s="425">
        <v>1632</v>
      </c>
      <c r="J72" s="425">
        <v>1039</v>
      </c>
      <c r="K72" s="280">
        <v>0</v>
      </c>
      <c r="L72" s="280">
        <v>0</v>
      </c>
      <c r="M72" s="280">
        <v>1502</v>
      </c>
      <c r="O72" s="7" t="s">
        <v>57</v>
      </c>
      <c r="P72" s="425">
        <f>(B72*1000)/SUM('Population Figures'!$N32:$P32)</f>
        <v>613.03608201271379</v>
      </c>
      <c r="Q72" s="280">
        <f>(C72/SUM('Population Figures'!N32:P32))*1000</f>
        <v>0.37604082728982002</v>
      </c>
      <c r="R72" s="425">
        <f>(D72/'Population Figures'!N32)*1000</f>
        <v>3.067199553861883</v>
      </c>
      <c r="S72" s="425">
        <f>(E72/'Population Figures'!N32)*1000</f>
        <v>701.41277070359695</v>
      </c>
      <c r="T72" s="280">
        <f>(F72/'Population Figures'!P32)*1000</f>
        <v>1528.4070951879171</v>
      </c>
      <c r="U72" s="425">
        <f>(G72/'Population Figures'!O32)*1000</f>
        <v>44.424001424416879</v>
      </c>
      <c r="V72" s="425">
        <f>(H72/'Population Figures'!O32)*1000</f>
        <v>167.53219775654341</v>
      </c>
      <c r="W72" s="425">
        <f>(I72/'Population Figures'!O32)*1000</f>
        <v>24.215086948780343</v>
      </c>
      <c r="X72" s="500">
        <f>(J72/'Population Figures'!O32)*1000</f>
        <v>15.416345183690428</v>
      </c>
      <c r="Y72" s="186">
        <f>(K72/'Population Figures'!O32)*1000</f>
        <v>0</v>
      </c>
      <c r="Z72" s="186">
        <f>(L72/'Population Figures'!O32)*1000</f>
        <v>0</v>
      </c>
      <c r="AA72" s="501">
        <f>(M72/'Population Figures'!O32)*1000</f>
        <v>22.286189091340731</v>
      </c>
    </row>
    <row r="73" spans="1:27">
      <c r="A73" s="7" t="s">
        <v>58</v>
      </c>
      <c r="B73" s="425">
        <v>161382</v>
      </c>
      <c r="C73" s="280">
        <v>935</v>
      </c>
      <c r="D73" s="425">
        <v>82</v>
      </c>
      <c r="E73" s="425">
        <v>30618</v>
      </c>
      <c r="F73" s="280">
        <v>80824</v>
      </c>
      <c r="G73" s="425">
        <v>4934</v>
      </c>
      <c r="H73" s="425">
        <v>32382</v>
      </c>
      <c r="I73" s="425">
        <v>5790</v>
      </c>
      <c r="J73" s="425">
        <v>1032</v>
      </c>
      <c r="K73" s="280">
        <v>0</v>
      </c>
      <c r="L73" s="280">
        <v>0</v>
      </c>
      <c r="M73" s="280">
        <v>4785</v>
      </c>
      <c r="O73" s="7" t="s">
        <v>58</v>
      </c>
      <c r="P73" s="425">
        <f>(B73*1000)/SUM('Population Figures'!$N33:$P33)</f>
        <v>521.42810985460414</v>
      </c>
      <c r="Q73" s="280">
        <f>(C73/SUM('Population Figures'!N33:P33))*1000</f>
        <v>3.0210016155088852</v>
      </c>
      <c r="R73" s="425">
        <f>(D73/'Population Figures'!N33)*1000</f>
        <v>1.2520804385335389</v>
      </c>
      <c r="S73" s="425">
        <f>(E73/'Population Figures'!N33)*1000</f>
        <v>467.51462032951093</v>
      </c>
      <c r="T73" s="280">
        <f>(F73/'Population Figures'!P33)*1000</f>
        <v>1619.7194388777557</v>
      </c>
      <c r="U73" s="425">
        <f>(G73/'Population Figures'!O33)*1000</f>
        <v>25.418708045479601</v>
      </c>
      <c r="V73" s="425">
        <f>(H73/'Population Figures'!O33)*1000</f>
        <v>166.82379487813549</v>
      </c>
      <c r="W73" s="425">
        <f>(I73/'Population Figures'!O33)*1000</f>
        <v>29.828601455883035</v>
      </c>
      <c r="X73" s="500">
        <f>(J73/'Population Figures'!O33)*1000</f>
        <v>5.3166004667480644</v>
      </c>
      <c r="Y73" s="186">
        <f>(K73/'Population Figures'!O33)*1000</f>
        <v>0</v>
      </c>
      <c r="Z73" s="186">
        <f>(L73/'Population Figures'!O33)*1000</f>
        <v>0</v>
      </c>
      <c r="AA73" s="501">
        <f>(M73/'Population Figures'!O33)*1000</f>
        <v>24.651098094369658</v>
      </c>
    </row>
    <row r="74" spans="1:27">
      <c r="A74" s="7" t="s">
        <v>59</v>
      </c>
      <c r="B74" s="425">
        <v>49392</v>
      </c>
      <c r="C74" s="280">
        <v>388</v>
      </c>
      <c r="D74" s="425">
        <v>0</v>
      </c>
      <c r="E74" s="425">
        <v>9551</v>
      </c>
      <c r="F74" s="280">
        <v>23517</v>
      </c>
      <c r="G74" s="425">
        <v>2169</v>
      </c>
      <c r="H74" s="425">
        <v>9273</v>
      </c>
      <c r="I74" s="425">
        <v>1798</v>
      </c>
      <c r="J74" s="425">
        <v>541</v>
      </c>
      <c r="K74" s="280">
        <v>0</v>
      </c>
      <c r="L74" s="280">
        <v>0</v>
      </c>
      <c r="M74" s="280">
        <v>2155</v>
      </c>
      <c r="O74" s="7" t="s">
        <v>59</v>
      </c>
      <c r="P74" s="425">
        <f>(B74*1000)/SUM('Population Figures'!$N34:$P34)</f>
        <v>560.06349926295502</v>
      </c>
      <c r="Q74" s="280">
        <f>(C74/SUM('Population Figures'!N34:P34))*1000</f>
        <v>4.3995917904524324</v>
      </c>
      <c r="R74" s="425">
        <f>(D74/'Population Figures'!N34)*1000</f>
        <v>0</v>
      </c>
      <c r="S74" s="425">
        <f>(E74/'Population Figures'!N34)*1000</f>
        <v>501.2332721070585</v>
      </c>
      <c r="T74" s="280">
        <f>(F74/'Population Figures'!P34)*1000</f>
        <v>1621.7502241224745</v>
      </c>
      <c r="U74" s="425">
        <f>(G74/'Population Figures'!O34)*1000</f>
        <v>39.700552769337776</v>
      </c>
      <c r="V74" s="425">
        <f>(H74/'Population Figures'!O34)*1000</f>
        <v>169.72947248965843</v>
      </c>
      <c r="W74" s="425">
        <f>(I74/'Population Figures'!O34)*1000</f>
        <v>32.909909580114942</v>
      </c>
      <c r="X74" s="500">
        <f>(J74/'Population Figures'!O34)*1000</f>
        <v>9.9022586667642862</v>
      </c>
      <c r="Y74" s="186">
        <f>(K74/'Population Figures'!O34)*1000</f>
        <v>0</v>
      </c>
      <c r="Z74" s="186">
        <f>(L74/'Population Figures'!O34)*1000</f>
        <v>0</v>
      </c>
      <c r="AA74" s="501">
        <f>(M74/'Population Figures'!O34)*1000</f>
        <v>39.444302082952007</v>
      </c>
    </row>
    <row r="75" spans="1:27">
      <c r="A75" s="7" t="s">
        <v>60</v>
      </c>
      <c r="B75" s="425">
        <v>64862</v>
      </c>
      <c r="C75" s="280">
        <v>686</v>
      </c>
      <c r="D75" s="425">
        <v>51</v>
      </c>
      <c r="E75" s="425">
        <v>16277</v>
      </c>
      <c r="F75" s="280">
        <v>23102</v>
      </c>
      <c r="G75" s="425">
        <v>4294</v>
      </c>
      <c r="H75" s="425">
        <v>12335</v>
      </c>
      <c r="I75" s="425">
        <v>4756</v>
      </c>
      <c r="J75" s="425">
        <v>1194</v>
      </c>
      <c r="K75" s="280">
        <v>37</v>
      </c>
      <c r="L75" s="280">
        <v>26</v>
      </c>
      <c r="M75" s="280">
        <v>2104</v>
      </c>
      <c r="O75" s="7" t="s">
        <v>60</v>
      </c>
      <c r="P75" s="425">
        <f>(B75*1000)/SUM('Population Figures'!$N35:$P35)</f>
        <v>712.06499066856952</v>
      </c>
      <c r="Q75" s="280">
        <f>(C75/SUM('Population Figures'!N35:P35))*1000</f>
        <v>7.531013283565704</v>
      </c>
      <c r="R75" s="425">
        <f>(D75/'Population Figures'!N35)*1000</f>
        <v>2.6947056958681177</v>
      </c>
      <c r="S75" s="425">
        <f>(E75/'Population Figures'!N35)*1000</f>
        <v>860.03381591461482</v>
      </c>
      <c r="T75" s="280">
        <f>(F75/'Population Figures'!P35)*1000</f>
        <v>1581.2457221081452</v>
      </c>
      <c r="U75" s="425">
        <f>(G75/'Population Figures'!O35)*1000</f>
        <v>74.608194043854468</v>
      </c>
      <c r="V75" s="425">
        <f>(H75/'Population Figures'!O35)*1000</f>
        <v>214.32046425965183</v>
      </c>
      <c r="W75" s="425">
        <f>(I75/'Population Figures'!O35)*1000</f>
        <v>82.635438023421472</v>
      </c>
      <c r="X75" s="500">
        <f>(J75/'Population Figures'!O35)*1000</f>
        <v>20.74573444069917</v>
      </c>
      <c r="Y75" s="186">
        <f>(K75/'Population Figures'!O35)*1000</f>
        <v>0.64287451784411165</v>
      </c>
      <c r="Z75" s="186">
        <f>(L75/'Population Figures'!O35)*1000</f>
        <v>0.45174966118775411</v>
      </c>
      <c r="AA75" s="501">
        <f>(M75/'Population Figures'!O35)*1000</f>
        <v>36.556972582270568</v>
      </c>
    </row>
    <row r="76" spans="1:27">
      <c r="A76" s="7" t="s">
        <v>61</v>
      </c>
      <c r="B76" s="425">
        <v>73888</v>
      </c>
      <c r="C76" s="280">
        <v>2795</v>
      </c>
      <c r="D76" s="425">
        <v>20</v>
      </c>
      <c r="E76" s="425">
        <v>16999</v>
      </c>
      <c r="F76" s="280">
        <v>29381</v>
      </c>
      <c r="G76" s="425">
        <v>5043</v>
      </c>
      <c r="H76" s="425">
        <v>12042</v>
      </c>
      <c r="I76" s="425">
        <v>4122</v>
      </c>
      <c r="J76" s="425">
        <v>1303</v>
      </c>
      <c r="K76" s="280">
        <v>9</v>
      </c>
      <c r="L76" s="280">
        <v>0</v>
      </c>
      <c r="M76" s="280">
        <v>2174</v>
      </c>
      <c r="O76" s="7" t="s">
        <v>61</v>
      </c>
      <c r="P76" s="425">
        <f>(B76*1000)/SUM('Population Figures'!$N36:$P36)</f>
        <v>440.41246945222628</v>
      </c>
      <c r="Q76" s="280">
        <f>(C76/SUM('Population Figures'!N36:P36))*1000</f>
        <v>16.659712701913332</v>
      </c>
      <c r="R76" s="425">
        <f>(D76/'Population Figures'!N36)*1000</f>
        <v>0.5107643588630385</v>
      </c>
      <c r="S76" s="425">
        <f>(E76/'Population Figures'!N36)*1000</f>
        <v>434.12416681563957</v>
      </c>
      <c r="T76" s="280">
        <f>(F76/'Population Figures'!P36)*1000</f>
        <v>1372.1744815991033</v>
      </c>
      <c r="U76" s="425">
        <f>(G76/'Population Figures'!O36)*1000</f>
        <v>47.042471618734901</v>
      </c>
      <c r="V76" s="425">
        <f>(H76/'Population Figures'!O36)*1000</f>
        <v>112.33104168804397</v>
      </c>
      <c r="W76" s="425">
        <f>(I76/'Population Figures'!O36)*1000</f>
        <v>38.451133851363323</v>
      </c>
      <c r="X76" s="500">
        <f>(J76/'Population Figures'!O36)*1000</f>
        <v>12.154737362524603</v>
      </c>
      <c r="Y76" s="186">
        <f>(K76/'Population Figures'!O36)*1000</f>
        <v>8.3954440723500723E-2</v>
      </c>
      <c r="Z76" s="186">
        <f>(L76/'Population Figures'!O36)*1000</f>
        <v>0</v>
      </c>
      <c r="AA76" s="501">
        <f>(M76/'Population Figures'!O36)*1000</f>
        <v>20.279661570321174</v>
      </c>
    </row>
    <row r="77" spans="1:27">
      <c r="A77" s="52" t="s">
        <v>5</v>
      </c>
      <c r="B77" s="53">
        <f>SUM(B45:B76)</f>
        <v>3192214</v>
      </c>
      <c r="C77" s="52">
        <f t="shared" ref="C77:M77" si="33">SUM(C45:C76)</f>
        <v>26939</v>
      </c>
      <c r="D77" s="53">
        <f t="shared" si="33"/>
        <v>2494</v>
      </c>
      <c r="E77" s="53">
        <f t="shared" si="33"/>
        <v>685415</v>
      </c>
      <c r="F77" s="52">
        <f t="shared" si="33"/>
        <v>1454912</v>
      </c>
      <c r="G77" s="53">
        <f t="shared" si="33"/>
        <v>193374</v>
      </c>
      <c r="H77" s="53">
        <f t="shared" si="33"/>
        <v>536757</v>
      </c>
      <c r="I77" s="53">
        <f t="shared" si="33"/>
        <v>141876</v>
      </c>
      <c r="J77" s="53">
        <f t="shared" si="33"/>
        <v>47466</v>
      </c>
      <c r="K77" s="52">
        <f t="shared" si="33"/>
        <v>2006</v>
      </c>
      <c r="L77" s="52">
        <f t="shared" si="33"/>
        <v>3053</v>
      </c>
      <c r="M77" s="52">
        <f t="shared" si="33"/>
        <v>97922</v>
      </c>
      <c r="N77" s="1"/>
      <c r="O77" s="52" t="s">
        <v>5</v>
      </c>
      <c r="P77" s="53">
        <f>(B77*1000)/SUM('Population Figures'!$N37:$P37)</f>
        <v>620.54624625792155</v>
      </c>
      <c r="Q77" s="52">
        <f>(C77/SUM('Population Figures'!N37:P37))*1000</f>
        <v>5.2367715096613665</v>
      </c>
      <c r="R77" s="53">
        <f>(D77/'Population Figures'!N37)*1000</f>
        <v>2.3811183236315969</v>
      </c>
      <c r="S77" s="53">
        <f>(E77/'Population Figures'!N37)*1000</f>
        <v>654.39222766317198</v>
      </c>
      <c r="T77" s="52">
        <f>(F77/'Population Figures'!P37)*1000</f>
        <v>1720.5411931935769</v>
      </c>
      <c r="U77" s="53">
        <f>(G77/'Population Figures'!O37)*1000</f>
        <v>59.478097183176573</v>
      </c>
      <c r="V77" s="53">
        <f>(H77/'Population Figures'!O37)*1000</f>
        <v>165.09605743145568</v>
      </c>
      <c r="W77" s="53">
        <f>(I77/'Population Figures'!O37)*1000</f>
        <v>43.638309782909595</v>
      </c>
      <c r="X77" s="445">
        <f>(J77/'Population Figures'!O37)*1000</f>
        <v>14.59962229098358</v>
      </c>
      <c r="Y77" s="446">
        <f>(K77/'Population Figures'!O37)*1000</f>
        <v>0.61700674831907187</v>
      </c>
      <c r="Z77" s="446">
        <f>(L77/'Population Figures'!O37)*1000</f>
        <v>0.9390436702981686</v>
      </c>
      <c r="AA77" s="446">
        <f>(M77/'Population Figures'!O37)*1000</f>
        <v>30.118910672432779</v>
      </c>
    </row>
  </sheetData>
  <sheetProtection selectLockedCells="1" selectUnlockedCells="1"/>
  <mergeCells count="4">
    <mergeCell ref="B1:M1"/>
    <mergeCell ref="O1:Z1"/>
    <mergeCell ref="B43:M43"/>
    <mergeCell ref="O43:Z43"/>
  </mergeCells>
  <phoneticPr fontId="0" type="noConversion"/>
  <pageMargins left="0.75" right="0.75" top="1" bottom="1" header="0.5" footer="0.5"/>
  <pageSetup paperSize="9" scale="2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D77"/>
  <sheetViews>
    <sheetView zoomScale="85" workbookViewId="0">
      <selection activeCell="A2" sqref="A2"/>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30">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30"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c r="AC2" s="169"/>
      <c r="AD2" s="169"/>
    </row>
    <row r="3" spans="1:30">
      <c r="A3" s="7" t="s">
        <v>31</v>
      </c>
      <c r="B3" s="8">
        <f>B45*$G$39</f>
        <v>162470.7726446309</v>
      </c>
      <c r="C3" s="7">
        <f t="shared" ref="C3:M3" si="0">C45*$G$39</f>
        <v>734.90531094372864</v>
      </c>
      <c r="D3" s="8">
        <f t="shared" si="0"/>
        <v>0</v>
      </c>
      <c r="E3" s="8">
        <f t="shared" si="0"/>
        <v>38266.323275326642</v>
      </c>
      <c r="F3" s="7">
        <f t="shared" si="0"/>
        <v>64043.617720461196</v>
      </c>
      <c r="G3" s="8">
        <f t="shared" si="0"/>
        <v>10941.80236694409</v>
      </c>
      <c r="H3" s="8">
        <f t="shared" si="0"/>
        <v>29698.24325545154</v>
      </c>
      <c r="I3" s="8">
        <f t="shared" si="0"/>
        <v>10399.891477420302</v>
      </c>
      <c r="J3" s="8">
        <f t="shared" si="0"/>
        <v>2711.7351755445893</v>
      </c>
      <c r="K3" s="7">
        <f t="shared" si="0"/>
        <v>0</v>
      </c>
      <c r="L3" s="7">
        <f t="shared" si="0"/>
        <v>2.1807279256490464</v>
      </c>
      <c r="M3" s="7">
        <f t="shared" si="0"/>
        <v>5672.0733346131692</v>
      </c>
      <c r="N3" s="18"/>
      <c r="O3" s="7" t="s">
        <v>31</v>
      </c>
      <c r="P3" s="8">
        <f>(B3*1000)/SUM('Population Figures'!$Q5:$S5)</f>
        <v>772.19948975585032</v>
      </c>
      <c r="Q3" s="7">
        <f>(C3*1000)/SUM('Population Figures'!$Q5:$S5)</f>
        <v>3.4928959645614479</v>
      </c>
      <c r="R3" s="8">
        <f>(D3*1000)/SUM('Population Figures'!$Q5)</f>
        <v>0</v>
      </c>
      <c r="S3" s="8">
        <f>(E3*1000)/SUM('Population Figures'!$Q5)</f>
        <v>1013.6237358372176</v>
      </c>
      <c r="T3" s="7">
        <f>(F3*1000)/SUM('Population Figures'!$S5)</f>
        <v>1989.2411157155209</v>
      </c>
      <c r="U3" s="8">
        <f>(G3*1000)/SUM('Population Figures'!$R5)</f>
        <v>77.903657215894924</v>
      </c>
      <c r="V3" s="8">
        <f>(H3*1000)/SUM('Population Figures'!$R5)</f>
        <v>211.44612970496567</v>
      </c>
      <c r="W3" s="8">
        <f>(I3*1000)/SUM('Population Figures'!$R5)</f>
        <v>74.04534952916849</v>
      </c>
      <c r="X3" s="185">
        <f>(J3*1000)/SUM('Population Figures'!$R5)</f>
        <v>19.307064822713571</v>
      </c>
      <c r="Y3" s="186">
        <f>(K3*1000)/SUM('Population Figures'!$R5)</f>
        <v>0</v>
      </c>
      <c r="Z3" s="186">
        <f>(L3*1000)/SUM('Population Figures'!$R5)</f>
        <v>1.5526389081394107E-2</v>
      </c>
      <c r="AA3" s="186">
        <f>(M3*1000)/SUM('Population Figures'!$R5)</f>
        <v>40.384138000706066</v>
      </c>
      <c r="AC3" s="18"/>
      <c r="AD3" s="121"/>
    </row>
    <row r="4" spans="1:30">
      <c r="A4" s="7" t="s">
        <v>32</v>
      </c>
      <c r="B4" s="8">
        <f t="shared" ref="B4:M4" si="1">B46*$G$39</f>
        <v>158139.84698429189</v>
      </c>
      <c r="C4" s="7">
        <f t="shared" si="1"/>
        <v>1302.9849355753051</v>
      </c>
      <c r="D4" s="8">
        <f t="shared" si="1"/>
        <v>117.75930798504851</v>
      </c>
      <c r="E4" s="8">
        <f t="shared" si="1"/>
        <v>28434.511422537915</v>
      </c>
      <c r="F4" s="7">
        <f t="shared" si="1"/>
        <v>66344.285682020942</v>
      </c>
      <c r="G4" s="8">
        <f t="shared" si="1"/>
        <v>8067.6029609386469</v>
      </c>
      <c r="H4" s="8">
        <f t="shared" si="1"/>
        <v>42283.224114372184</v>
      </c>
      <c r="I4" s="8">
        <f t="shared" si="1"/>
        <v>5605.5611328808736</v>
      </c>
      <c r="J4" s="8">
        <f t="shared" si="1"/>
        <v>2681.2049845855026</v>
      </c>
      <c r="K4" s="7">
        <f t="shared" si="1"/>
        <v>0</v>
      </c>
      <c r="L4" s="7">
        <f t="shared" si="1"/>
        <v>0</v>
      </c>
      <c r="M4" s="7">
        <f t="shared" si="1"/>
        <v>3302.7124433954809</v>
      </c>
      <c r="N4" s="18"/>
      <c r="O4" s="7" t="s">
        <v>32</v>
      </c>
      <c r="P4" s="8">
        <f>(B4*1000)/SUM('Population Figures'!$Q6:$S6)</f>
        <v>654.93186028448554</v>
      </c>
      <c r="Q4" s="7">
        <f>(C4*1000)/SUM('Population Figures'!$Q6:$S6)</f>
        <v>5.3962765492226676</v>
      </c>
      <c r="R4" s="8">
        <f>(D4*1000)/SUM('Population Figures'!$Q6)</f>
        <v>2.2324039428445217</v>
      </c>
      <c r="S4" s="8">
        <f>(E4*1000)/SUM('Population Figures'!$Q6)</f>
        <v>539.04287056943917</v>
      </c>
      <c r="T4" s="7">
        <f>(F4*1000)/SUM('Population Figures'!$S6)</f>
        <v>1733.4940865912663</v>
      </c>
      <c r="U4" s="8">
        <f>(G4*1000)/SUM('Population Figures'!$R6)</f>
        <v>53.627427650850493</v>
      </c>
      <c r="V4" s="8">
        <f>(H4*1000)/SUM('Population Figures'!$R6)</f>
        <v>281.06744382650783</v>
      </c>
      <c r="W4" s="8">
        <f>(I4*1000)/SUM('Population Figures'!$R6)</f>
        <v>37.261603669823273</v>
      </c>
      <c r="X4" s="185">
        <f>(J4*1000)/SUM('Population Figures'!$R6)</f>
        <v>17.822657736645677</v>
      </c>
      <c r="Y4" s="186">
        <f>(K4*1000)/SUM('Population Figures'!$R6)</f>
        <v>0</v>
      </c>
      <c r="Z4" s="186">
        <f>(L4*1000)/SUM('Population Figures'!$R6)</f>
        <v>0</v>
      </c>
      <c r="AA4" s="186">
        <f>(M4*1000)/SUM('Population Figures'!$R6)</f>
        <v>21.953977342130852</v>
      </c>
      <c r="AC4" s="18"/>
      <c r="AD4" s="121"/>
    </row>
    <row r="5" spans="1:30">
      <c r="A5" s="7" t="s">
        <v>33</v>
      </c>
      <c r="B5" s="8">
        <f t="shared" ref="B5:M5" si="2">B47*$G$39</f>
        <v>74368.274084446603</v>
      </c>
      <c r="C5" s="7">
        <f t="shared" si="2"/>
        <v>340.19355640125121</v>
      </c>
      <c r="D5" s="8">
        <f t="shared" si="2"/>
        <v>162.46423046085397</v>
      </c>
      <c r="E5" s="8">
        <f t="shared" si="2"/>
        <v>15421.017526227231</v>
      </c>
      <c r="F5" s="7">
        <f t="shared" si="2"/>
        <v>39503.886373132475</v>
      </c>
      <c r="G5" s="8">
        <f t="shared" si="2"/>
        <v>3214.3929624066946</v>
      </c>
      <c r="H5" s="8">
        <f t="shared" si="2"/>
        <v>10963.609646200581</v>
      </c>
      <c r="I5" s="8">
        <f t="shared" si="2"/>
        <v>2657.2169774033632</v>
      </c>
      <c r="J5" s="8">
        <f t="shared" si="2"/>
        <v>487.39269138256185</v>
      </c>
      <c r="K5" s="7">
        <f t="shared" si="2"/>
        <v>0</v>
      </c>
      <c r="L5" s="7">
        <f t="shared" si="2"/>
        <v>0</v>
      </c>
      <c r="M5" s="7">
        <f t="shared" si="2"/>
        <v>1618.1001208315924</v>
      </c>
      <c r="N5" s="18"/>
      <c r="O5" s="7" t="s">
        <v>33</v>
      </c>
      <c r="P5" s="8">
        <f>(B5*1000)/SUM('Population Figures'!$Q7:$S7)</f>
        <v>674.17527046003636</v>
      </c>
      <c r="Q5" s="7">
        <f>(C5*1000)/SUM('Population Figures'!$Q7:$S7)</f>
        <v>3.0839774852801307</v>
      </c>
      <c r="R5" s="8">
        <f>(D5*1000)/SUM('Population Figures'!$Q7)</f>
        <v>7.1652214192843768</v>
      </c>
      <c r="S5" s="8">
        <f>(E5*1000)/SUM('Population Figures'!$Q7)</f>
        <v>680.11897001972443</v>
      </c>
      <c r="T5" s="7">
        <f>(F5*1000)/SUM('Population Figures'!$S7)</f>
        <v>1833.9780117517398</v>
      </c>
      <c r="U5" s="8">
        <f>(G5*1000)/SUM('Population Figures'!$R7)</f>
        <v>48.632185947813703</v>
      </c>
      <c r="V5" s="8">
        <f>(H5*1000)/SUM('Population Figures'!$R7)</f>
        <v>165.87402635863864</v>
      </c>
      <c r="W5" s="8">
        <f>(I5*1000)/SUM('Population Figures'!$R7)</f>
        <v>40.202387094580054</v>
      </c>
      <c r="X5" s="185">
        <f>(J5*1000)/SUM('Population Figures'!$R7)</f>
        <v>7.3740119127112358</v>
      </c>
      <c r="Y5" s="186">
        <f>(K5*1000)/SUM('Population Figures'!$R7)</f>
        <v>0</v>
      </c>
      <c r="Z5" s="186">
        <f>(L5*1000)/SUM('Population Figures'!$R7)</f>
        <v>0</v>
      </c>
      <c r="AA5" s="186">
        <f>(M5*1000)/SUM('Population Figures'!$R7)</f>
        <v>24.48105968336348</v>
      </c>
      <c r="AC5" s="18"/>
      <c r="AD5" s="121"/>
    </row>
    <row r="6" spans="1:30">
      <c r="A6" s="7" t="s">
        <v>34</v>
      </c>
      <c r="B6" s="8">
        <f t="shared" ref="B6:M6" si="3">B48*$G$39</f>
        <v>57836.175680101187</v>
      </c>
      <c r="C6" s="7">
        <f t="shared" si="3"/>
        <v>1669.3472270843449</v>
      </c>
      <c r="D6" s="8">
        <f t="shared" si="3"/>
        <v>63.241109843822343</v>
      </c>
      <c r="E6" s="8">
        <f t="shared" si="3"/>
        <v>11112.98950910754</v>
      </c>
      <c r="F6" s="7">
        <f t="shared" si="3"/>
        <v>30125.665928878752</v>
      </c>
      <c r="G6" s="8">
        <f t="shared" si="3"/>
        <v>1035.8457646832969</v>
      </c>
      <c r="H6" s="8">
        <f t="shared" si="3"/>
        <v>11281.995923345341</v>
      </c>
      <c r="I6" s="8">
        <f t="shared" si="3"/>
        <v>2210.1677526453086</v>
      </c>
      <c r="J6" s="8">
        <f t="shared" si="3"/>
        <v>346.7357401781984</v>
      </c>
      <c r="K6" s="7">
        <f t="shared" si="3"/>
        <v>0</v>
      </c>
      <c r="L6" s="7">
        <f t="shared" si="3"/>
        <v>0</v>
      </c>
      <c r="M6" s="7">
        <f t="shared" si="3"/>
        <v>-9.8132756654207078</v>
      </c>
      <c r="N6" s="18"/>
      <c r="O6" s="7" t="s">
        <v>34</v>
      </c>
      <c r="P6" s="8">
        <f>(B6*1000)/SUM('Population Figures'!$Q8:$S8)</f>
        <v>639.07376442100758</v>
      </c>
      <c r="Q6" s="7">
        <f>(C6*1000)/SUM('Population Figures'!$Q8:$S8)</f>
        <v>18.44582571363917</v>
      </c>
      <c r="R6" s="8">
        <f>(D6*1000)/SUM('Population Figures'!$Q8)</f>
        <v>3.6646641851899138</v>
      </c>
      <c r="S6" s="8">
        <f>(E6*1000)/SUM('Population Figures'!$Q8)</f>
        <v>643.96995474923449</v>
      </c>
      <c r="T6" s="7">
        <f>(F6*1000)/SUM('Population Figures'!$S8)</f>
        <v>1606.1025712469345</v>
      </c>
      <c r="U6" s="8">
        <f>(G6*1000)/SUM('Population Figures'!$R8)</f>
        <v>19.011227924297927</v>
      </c>
      <c r="V6" s="8">
        <f>(H6*1000)/SUM('Population Figures'!$R8)</f>
        <v>207.06228982390596</v>
      </c>
      <c r="W6" s="8">
        <f>(I6*1000)/SUM('Population Figures'!$R8)</f>
        <v>40.563956844791484</v>
      </c>
      <c r="X6" s="185">
        <f>(J6*1000)/SUM('Population Figures'!$R8)</f>
        <v>6.3637583999228866</v>
      </c>
      <c r="Y6" s="186">
        <f>(K6*1000)/SUM('Population Figures'!$R8)</f>
        <v>0</v>
      </c>
      <c r="Z6" s="186">
        <f>(L6*1000)/SUM('Population Figures'!$R8)</f>
        <v>0</v>
      </c>
      <c r="AA6" s="186">
        <f>(M6*1000)/SUM('Population Figures'!$R8)</f>
        <v>-0.18010636980913827</v>
      </c>
      <c r="AC6" s="18"/>
      <c r="AD6" s="121"/>
    </row>
    <row r="7" spans="1:30">
      <c r="A7" s="7" t="s">
        <v>35</v>
      </c>
      <c r="B7" s="8">
        <f t="shared" ref="B7:M7" si="4">B49*$G$39</f>
        <v>36696.199168859326</v>
      </c>
      <c r="C7" s="7">
        <f t="shared" si="4"/>
        <v>124.30149176199565</v>
      </c>
      <c r="D7" s="8">
        <f t="shared" si="4"/>
        <v>41.433830587331883</v>
      </c>
      <c r="E7" s="8">
        <f t="shared" si="4"/>
        <v>9560.31122604542</v>
      </c>
      <c r="F7" s="7">
        <f t="shared" si="4"/>
        <v>15271.637663320273</v>
      </c>
      <c r="G7" s="8">
        <f t="shared" si="4"/>
        <v>3207.8507786297473</v>
      </c>
      <c r="H7" s="8">
        <f t="shared" si="4"/>
        <v>4459.5886079522998</v>
      </c>
      <c r="I7" s="8">
        <f t="shared" si="4"/>
        <v>2241.7883075672198</v>
      </c>
      <c r="J7" s="8">
        <f t="shared" si="4"/>
        <v>292.21754203697219</v>
      </c>
      <c r="K7" s="7">
        <f t="shared" si="4"/>
        <v>0</v>
      </c>
      <c r="L7" s="7">
        <f t="shared" si="4"/>
        <v>0</v>
      </c>
      <c r="M7" s="7">
        <f t="shared" si="4"/>
        <v>1497.0697209580703</v>
      </c>
      <c r="N7" s="18"/>
      <c r="O7" s="7" t="s">
        <v>35</v>
      </c>
      <c r="P7" s="8">
        <f>(B7*1000)/SUM('Population Figures'!$Q9:$S9)</f>
        <v>726.94530841638914</v>
      </c>
      <c r="Q7" s="7">
        <f>(C7*1000)/SUM('Population Figures'!$Q9:$S9)</f>
        <v>2.4623908827653658</v>
      </c>
      <c r="R7" s="8">
        <f>(D7*1000)/SUM('Population Figures'!$Q9)</f>
        <v>3.7636325358644638</v>
      </c>
      <c r="S7" s="8">
        <f>(E7*1000)/SUM('Population Figures'!$Q9)</f>
        <v>868.40868616999001</v>
      </c>
      <c r="T7" s="7">
        <f>(F7*1000)/SUM('Population Figures'!$S9)</f>
        <v>1977.935197943307</v>
      </c>
      <c r="U7" s="8">
        <f>(G7*1000)/SUM('Population Figures'!$R9)</f>
        <v>101.03467019306291</v>
      </c>
      <c r="V7" s="8">
        <f>(H7*1000)/SUM('Population Figures'!$R9)</f>
        <v>140.45948371503306</v>
      </c>
      <c r="W7" s="8">
        <f>(I7*1000)/SUM('Population Figures'!$R9)</f>
        <v>70.607505750148647</v>
      </c>
      <c r="X7" s="185">
        <f>(J7*1000)/SUM('Population Figures'!$R9)</f>
        <v>9.2037021114006983</v>
      </c>
      <c r="Y7" s="186">
        <f>(K7*1000)/SUM('Population Figures'!$R9)</f>
        <v>0</v>
      </c>
      <c r="Z7" s="186">
        <f>(L7*1000)/SUM('Population Figures'!$R9)</f>
        <v>0</v>
      </c>
      <c r="AA7" s="186">
        <f>(M7*1000)/SUM('Population Figures'!$R9)</f>
        <v>47.151802234899854</v>
      </c>
      <c r="AC7" s="18"/>
      <c r="AD7" s="121"/>
    </row>
    <row r="8" spans="1:30">
      <c r="A8" s="7" t="s">
        <v>36</v>
      </c>
      <c r="B8" s="8">
        <f t="shared" ref="B8:M8" si="5">B50*$G$39</f>
        <v>106311.57673935384</v>
      </c>
      <c r="C8" s="7">
        <f t="shared" si="5"/>
        <v>2239.6075796415707</v>
      </c>
      <c r="D8" s="8">
        <f t="shared" si="5"/>
        <v>116.66894402222398</v>
      </c>
      <c r="E8" s="8">
        <f t="shared" si="5"/>
        <v>20205.534595101239</v>
      </c>
      <c r="F8" s="7">
        <f t="shared" si="5"/>
        <v>51808.64369360722</v>
      </c>
      <c r="G8" s="8">
        <f t="shared" si="5"/>
        <v>7676.1622982846429</v>
      </c>
      <c r="H8" s="8">
        <f t="shared" si="5"/>
        <v>15776.476178108027</v>
      </c>
      <c r="I8" s="8">
        <f t="shared" si="5"/>
        <v>4024.5333867853151</v>
      </c>
      <c r="J8" s="8">
        <f t="shared" si="5"/>
        <v>531.00724989554283</v>
      </c>
      <c r="K8" s="7">
        <f t="shared" si="5"/>
        <v>1.0903639628245232</v>
      </c>
      <c r="L8" s="7">
        <f t="shared" si="5"/>
        <v>0</v>
      </c>
      <c r="M8" s="7">
        <f t="shared" si="5"/>
        <v>3931.8524499452305</v>
      </c>
      <c r="N8" s="18"/>
      <c r="O8" s="7" t="s">
        <v>36</v>
      </c>
      <c r="P8" s="8">
        <f>(B8*1000)/SUM('Population Figures'!$Q10:$S10)</f>
        <v>715.51740974124266</v>
      </c>
      <c r="Q8" s="7">
        <f>(C8*1000)/SUM('Population Figures'!$Q10:$S10)</f>
        <v>15.073412166116373</v>
      </c>
      <c r="R8" s="8">
        <f>(D8*1000)/SUM('Population Figures'!$Q10)</f>
        <v>4.0344748607173377</v>
      </c>
      <c r="S8" s="8">
        <f>(E8*1000)/SUM('Population Figures'!$Q10)</f>
        <v>698.71825835470077</v>
      </c>
      <c r="T8" s="7">
        <f>(F8*1000)/SUM('Population Figures'!$S10)</f>
        <v>1631.2031640567745</v>
      </c>
      <c r="U8" s="8">
        <f>(G8*1000)/SUM('Population Figures'!$R10)</f>
        <v>87.327360306306446</v>
      </c>
      <c r="V8" s="8">
        <f>(H8*1000)/SUM('Population Figures'!$R10)</f>
        <v>179.48005344771991</v>
      </c>
      <c r="W8" s="8">
        <f>(I8*1000)/SUM('Population Figures'!$R10)</f>
        <v>45.784841887866065</v>
      </c>
      <c r="X8" s="185">
        <f>(J8*1000)/SUM('Population Figures'!$R10)</f>
        <v>6.0409693848254609</v>
      </c>
      <c r="Y8" s="186">
        <f>(K8*1000)/SUM('Population Figures'!$R10)</f>
        <v>1.2404454588963986E-2</v>
      </c>
      <c r="Z8" s="186">
        <f>(L8*1000)/SUM('Population Figures'!$R10)</f>
        <v>0</v>
      </c>
      <c r="AA8" s="186">
        <f>(M8*1000)/SUM('Population Figures'!$R10)</f>
        <v>44.730463247804124</v>
      </c>
      <c r="AC8" s="18"/>
      <c r="AD8" s="121"/>
    </row>
    <row r="9" spans="1:30">
      <c r="A9" s="7" t="s">
        <v>37</v>
      </c>
      <c r="B9" s="8">
        <f t="shared" ref="B9:M9" si="6">B51*$G$39</f>
        <v>114735.7287161361</v>
      </c>
      <c r="C9" s="7">
        <f t="shared" si="6"/>
        <v>1132.8881573746796</v>
      </c>
      <c r="D9" s="8">
        <f t="shared" si="6"/>
        <v>215.89206463925558</v>
      </c>
      <c r="E9" s="8">
        <f t="shared" si="6"/>
        <v>29184.681828961187</v>
      </c>
      <c r="F9" s="7">
        <f t="shared" si="6"/>
        <v>48453.593779996161</v>
      </c>
      <c r="G9" s="8">
        <f t="shared" si="6"/>
        <v>8154.8320779646092</v>
      </c>
      <c r="H9" s="8">
        <f t="shared" si="6"/>
        <v>16348.9172585909</v>
      </c>
      <c r="I9" s="8">
        <f t="shared" si="6"/>
        <v>3988.5513760121057</v>
      </c>
      <c r="J9" s="8">
        <f t="shared" si="6"/>
        <v>888.6466297019864</v>
      </c>
      <c r="K9" s="7">
        <f t="shared" si="6"/>
        <v>199.53660519688773</v>
      </c>
      <c r="L9" s="7">
        <f t="shared" si="6"/>
        <v>0</v>
      </c>
      <c r="M9" s="7">
        <f t="shared" si="6"/>
        <v>6168.1889376983281</v>
      </c>
      <c r="N9" s="18"/>
      <c r="O9" s="7" t="s">
        <v>37</v>
      </c>
      <c r="P9" s="8">
        <f>(B9*1000)/SUM('Population Figures'!$Q11:$S11)</f>
        <v>805.33255222949458</v>
      </c>
      <c r="Q9" s="7">
        <f>(C9*1000)/SUM('Population Figures'!$Q11:$S11)</f>
        <v>7.9517663885356891</v>
      </c>
      <c r="R9" s="8">
        <f>(D9*1000)/SUM('Population Figures'!$Q11)</f>
        <v>7.9293372255208281</v>
      </c>
      <c r="S9" s="8">
        <f>(E9*1000)/SUM('Population Figures'!$Q11)</f>
        <v>1071.9022231226793</v>
      </c>
      <c r="T9" s="7">
        <f>(F9*1000)/SUM('Population Figures'!$S11)</f>
        <v>1888.8080840446016</v>
      </c>
      <c r="U9" s="8">
        <f>(G9*1000)/SUM('Population Figures'!$R11)</f>
        <v>91.023909788643934</v>
      </c>
      <c r="V9" s="8">
        <f>(H9*1000)/SUM('Population Figures'!$R11)</f>
        <v>182.48596114065074</v>
      </c>
      <c r="W9" s="8">
        <f>(I9*1000)/SUM('Population Figures'!$R11)</f>
        <v>44.520051077264263</v>
      </c>
      <c r="X9" s="185">
        <f>(J9*1000)/SUM('Population Figures'!$R11)</f>
        <v>9.9190381705769219</v>
      </c>
      <c r="Y9" s="186">
        <f>(K9*1000)/SUM('Population Figures'!$R11)</f>
        <v>2.2272196137614437</v>
      </c>
      <c r="Z9" s="186">
        <f>(L9*1000)/SUM('Population Figures'!$R11)</f>
        <v>0</v>
      </c>
      <c r="AA9" s="186">
        <f>(M9*1000)/SUM('Population Figures'!$R11)</f>
        <v>68.849078442887915</v>
      </c>
      <c r="AC9" s="18"/>
      <c r="AD9" s="121"/>
    </row>
    <row r="10" spans="1:30">
      <c r="A10" s="7" t="s">
        <v>38</v>
      </c>
      <c r="B10" s="8">
        <f t="shared" ref="B10:M10" si="7">B52*$G$39</f>
        <v>82904.733549399796</v>
      </c>
      <c r="C10" s="7">
        <f t="shared" si="7"/>
        <v>558.26634896615587</v>
      </c>
      <c r="D10" s="8">
        <f t="shared" si="7"/>
        <v>103.5845764683297</v>
      </c>
      <c r="E10" s="8">
        <f t="shared" si="7"/>
        <v>17884.149718247831</v>
      </c>
      <c r="F10" s="7">
        <f t="shared" si="7"/>
        <v>41706.421578038011</v>
      </c>
      <c r="G10" s="8">
        <f t="shared" si="7"/>
        <v>4241.5158153873954</v>
      </c>
      <c r="H10" s="8">
        <f t="shared" si="7"/>
        <v>12901.186408139758</v>
      </c>
      <c r="I10" s="8">
        <f t="shared" si="7"/>
        <v>2813.1390240872697</v>
      </c>
      <c r="J10" s="8">
        <f t="shared" si="7"/>
        <v>167.91605027497658</v>
      </c>
      <c r="K10" s="7">
        <f t="shared" si="7"/>
        <v>0</v>
      </c>
      <c r="L10" s="7">
        <f t="shared" si="7"/>
        <v>0</v>
      </c>
      <c r="M10" s="7">
        <f t="shared" si="7"/>
        <v>2528.5540297900693</v>
      </c>
      <c r="N10" s="18"/>
      <c r="O10" s="7" t="s">
        <v>38</v>
      </c>
      <c r="P10" s="8">
        <f>(B10*1000)/SUM('Population Figures'!$Q12:$S12)</f>
        <v>691.33366869079214</v>
      </c>
      <c r="Q10" s="7">
        <f>(C10*1000)/SUM('Population Figures'!$Q12:$S12)</f>
        <v>4.6553231234669434</v>
      </c>
      <c r="R10" s="8">
        <f>(D10*1000)/SUM('Population Figures'!$Q12)</f>
        <v>4.1732636262974783</v>
      </c>
      <c r="S10" s="8">
        <f>(E10*1000)/SUM('Population Figures'!$Q12)</f>
        <v>720.52494735296045</v>
      </c>
      <c r="T10" s="7">
        <f>(F10*1000)/SUM('Population Figures'!$S12)</f>
        <v>2041.5302549335756</v>
      </c>
      <c r="U10" s="8">
        <f>(G10*1000)/SUM('Population Figures'!$R12)</f>
        <v>56.803479515031405</v>
      </c>
      <c r="V10" s="8">
        <f>(H10*1000)/SUM('Population Figures'!$R12)</f>
        <v>172.77603332181275</v>
      </c>
      <c r="W10" s="8">
        <f>(I10*1000)/SUM('Population Figures'!$R12)</f>
        <v>37.674287184776617</v>
      </c>
      <c r="X10" s="185">
        <f>(J10*1000)/SUM('Population Figures'!$R12)</f>
        <v>2.2487752815719375</v>
      </c>
      <c r="Y10" s="186">
        <f>(K10*1000)/SUM('Population Figures'!$R12)</f>
        <v>0</v>
      </c>
      <c r="Z10" s="186">
        <f>(L10*1000)/SUM('Population Figures'!$R12)</f>
        <v>0</v>
      </c>
      <c r="AA10" s="186">
        <f>(M10*1000)/SUM('Population Figures'!$R12)</f>
        <v>33.863051155618983</v>
      </c>
      <c r="AC10" s="18"/>
      <c r="AD10" s="121"/>
    </row>
    <row r="11" spans="1:30">
      <c r="A11" s="7" t="s">
        <v>39</v>
      </c>
      <c r="B11" s="8">
        <f t="shared" ref="B11:M11" si="8">B53*$G$39</f>
        <v>56281.31666911341</v>
      </c>
      <c r="C11" s="7">
        <f t="shared" si="8"/>
        <v>4073.5997651124185</v>
      </c>
      <c r="D11" s="8">
        <f t="shared" si="8"/>
        <v>6.5421837769471392</v>
      </c>
      <c r="E11" s="8">
        <f t="shared" si="8"/>
        <v>9500.3412080900707</v>
      </c>
      <c r="F11" s="7">
        <f t="shared" si="8"/>
        <v>24212.622158481361</v>
      </c>
      <c r="G11" s="8">
        <f t="shared" si="8"/>
        <v>3109.7180219755401</v>
      </c>
      <c r="H11" s="8">
        <f t="shared" si="8"/>
        <v>11084.640046074102</v>
      </c>
      <c r="I11" s="8">
        <f t="shared" si="8"/>
        <v>3445.5501225254934</v>
      </c>
      <c r="J11" s="8">
        <f t="shared" si="8"/>
        <v>676.02565695120438</v>
      </c>
      <c r="K11" s="7">
        <f t="shared" si="8"/>
        <v>0</v>
      </c>
      <c r="L11" s="7">
        <f t="shared" si="8"/>
        <v>0</v>
      </c>
      <c r="M11" s="7">
        <f t="shared" si="8"/>
        <v>172.27750612627466</v>
      </c>
      <c r="N11" s="18"/>
      <c r="O11" s="7" t="s">
        <v>39</v>
      </c>
      <c r="P11" s="8">
        <f>(B11*1000)/SUM('Population Figures'!$Q13:$S13)</f>
        <v>537.44572831468122</v>
      </c>
      <c r="Q11" s="7">
        <f>(C11*1000)/SUM('Population Figures'!$Q13:$S13)</f>
        <v>38.899921362800029</v>
      </c>
      <c r="R11" s="8">
        <f>(D11*1000)/SUM('Population Figures'!$Q13)</f>
        <v>0.2939646720713161</v>
      </c>
      <c r="S11" s="8">
        <f>(E11*1000)/SUM('Population Figures'!$Q13)</f>
        <v>426.88569795956283</v>
      </c>
      <c r="T11" s="7">
        <f>(F11*1000)/SUM('Population Figures'!$S13)</f>
        <v>1273.1423997518855</v>
      </c>
      <c r="U11" s="8">
        <f>(G11*1000)/SUM('Population Figures'!$R13)</f>
        <v>49.012845713359816</v>
      </c>
      <c r="V11" s="8">
        <f>(H11*1000)/SUM('Population Figures'!$R13)</f>
        <v>174.70707907504061</v>
      </c>
      <c r="W11" s="8">
        <f>(I11*1000)/SUM('Population Figures'!$R13)</f>
        <v>54.305958083526306</v>
      </c>
      <c r="X11" s="185">
        <f>(J11*1000)/SUM('Population Figures'!$R13)</f>
        <v>10.654966459426047</v>
      </c>
      <c r="Y11" s="186">
        <f>(K11*1000)/SUM('Population Figures'!$R13)</f>
        <v>0</v>
      </c>
      <c r="Z11" s="186">
        <f>(L11*1000)/SUM('Population Figures'!$R13)</f>
        <v>0</v>
      </c>
      <c r="AA11" s="186">
        <f>(M11*1000)/SUM('Population Figures'!$R13)</f>
        <v>2.7152979041763148</v>
      </c>
      <c r="AC11" s="18"/>
      <c r="AD11" s="121"/>
    </row>
    <row r="12" spans="1:30">
      <c r="A12" s="7" t="s">
        <v>40</v>
      </c>
      <c r="B12" s="8">
        <f t="shared" ref="B12:M12" si="9">B54*$G$39</f>
        <v>59169.690806635575</v>
      </c>
      <c r="C12" s="7">
        <f t="shared" si="9"/>
        <v>1171.0508960735378</v>
      </c>
      <c r="D12" s="8">
        <f t="shared" si="9"/>
        <v>37.072374736033787</v>
      </c>
      <c r="E12" s="8">
        <f t="shared" si="9"/>
        <v>11502.249443835895</v>
      </c>
      <c r="F12" s="7">
        <f t="shared" si="9"/>
        <v>29493.254830440528</v>
      </c>
      <c r="G12" s="8">
        <f t="shared" si="9"/>
        <v>4132.4794191049432</v>
      </c>
      <c r="H12" s="8">
        <f t="shared" si="9"/>
        <v>9078.3703544769796</v>
      </c>
      <c r="I12" s="8">
        <f t="shared" si="9"/>
        <v>1655.1724955676261</v>
      </c>
      <c r="J12" s="8">
        <f t="shared" si="9"/>
        <v>1071.8277754565063</v>
      </c>
      <c r="K12" s="7">
        <f t="shared" si="9"/>
        <v>0</v>
      </c>
      <c r="L12" s="7">
        <f t="shared" si="9"/>
        <v>0</v>
      </c>
      <c r="M12" s="7">
        <f t="shared" si="9"/>
        <v>1028.2132169435254</v>
      </c>
      <c r="N12" s="18"/>
      <c r="O12" s="7" t="s">
        <v>40</v>
      </c>
      <c r="P12" s="8">
        <f>(B12*1000)/SUM('Population Figures'!$Q14:$S14)</f>
        <v>615.70958175479268</v>
      </c>
      <c r="Q12" s="7">
        <f>(C12*1000)/SUM('Population Figures'!$Q14:$S14)</f>
        <v>12.185753341035774</v>
      </c>
      <c r="R12" s="8">
        <f>(D12*1000)/SUM('Population Figures'!$Q14)</f>
        <v>1.7291219559717252</v>
      </c>
      <c r="S12" s="8">
        <f>(E12*1000)/SUM('Population Figures'!$Q14)</f>
        <v>536.48551510428615</v>
      </c>
      <c r="T12" s="7">
        <f>(F12*1000)/SUM('Population Figures'!$S14)</f>
        <v>1744.7500491268652</v>
      </c>
      <c r="U12" s="8">
        <f>(G12*1000)/SUM('Population Figures'!$R14)</f>
        <v>71.550651345400354</v>
      </c>
      <c r="V12" s="8">
        <f>(H12*1000)/SUM('Population Figures'!$R14)</f>
        <v>157.18488736195337</v>
      </c>
      <c r="W12" s="8">
        <f>(I12*1000)/SUM('Population Figures'!$R14)</f>
        <v>28.658018137814704</v>
      </c>
      <c r="X12" s="185">
        <f>(J12*1000)/SUM('Population Figures'!$R14)</f>
        <v>18.557860230218616</v>
      </c>
      <c r="Y12" s="186">
        <f>(K12*1000)/SUM('Population Figures'!$R14)</f>
        <v>0</v>
      </c>
      <c r="Z12" s="186">
        <f>(L12*1000)/SUM('Population Figures'!$R14)</f>
        <v>0</v>
      </c>
      <c r="AA12" s="186">
        <f>(M12*1000)/SUM('Population Figures'!$R14)</f>
        <v>17.802708237127316</v>
      </c>
      <c r="AC12" s="18"/>
      <c r="AD12" s="121"/>
    </row>
    <row r="13" spans="1:30">
      <c r="A13" s="7" t="s">
        <v>41</v>
      </c>
      <c r="B13" s="8">
        <f t="shared" ref="B13:M13" si="10">B55*$G$39</f>
        <v>49151.42671620386</v>
      </c>
      <c r="C13" s="7">
        <f t="shared" si="10"/>
        <v>1468.7202579246327</v>
      </c>
      <c r="D13" s="8">
        <f t="shared" si="10"/>
        <v>0</v>
      </c>
      <c r="E13" s="8">
        <f t="shared" si="10"/>
        <v>6747.1722019581493</v>
      </c>
      <c r="F13" s="7">
        <f t="shared" si="10"/>
        <v>23498.433762831301</v>
      </c>
      <c r="G13" s="8">
        <f t="shared" si="10"/>
        <v>2924.356148295371</v>
      </c>
      <c r="H13" s="8">
        <f t="shared" si="10"/>
        <v>10717.187390602239</v>
      </c>
      <c r="I13" s="8">
        <f t="shared" si="10"/>
        <v>1584.2988379840322</v>
      </c>
      <c r="J13" s="8">
        <f t="shared" si="10"/>
        <v>525.55543008142013</v>
      </c>
      <c r="K13" s="7">
        <f t="shared" si="10"/>
        <v>0</v>
      </c>
      <c r="L13" s="7">
        <f t="shared" si="10"/>
        <v>4.3614558512980928</v>
      </c>
      <c r="M13" s="7">
        <f t="shared" si="10"/>
        <v>1681.3412306754149</v>
      </c>
      <c r="N13" s="18"/>
      <c r="O13" s="7" t="s">
        <v>41</v>
      </c>
      <c r="P13" s="8">
        <f>(B13*1000)/SUM('Population Figures'!$Q15:$S15)</f>
        <v>550.90144268329811</v>
      </c>
      <c r="Q13" s="7">
        <f>(C13*1000)/SUM('Population Figures'!$Q15:$S15)</f>
        <v>16.461782760867884</v>
      </c>
      <c r="R13" s="8">
        <f>(D13*1000)/SUM('Population Figures'!$Q15)</f>
        <v>0</v>
      </c>
      <c r="S13" s="8">
        <f>(E13*1000)/SUM('Population Figures'!$Q15)</f>
        <v>330.88971614722914</v>
      </c>
      <c r="T13" s="7">
        <f>(F13*1000)/SUM('Population Figures'!$S15)</f>
        <v>1507.9531388584548</v>
      </c>
      <c r="U13" s="8">
        <f>(G13*1000)/SUM('Population Figures'!$R15)</f>
        <v>54.921611920057295</v>
      </c>
      <c r="V13" s="8">
        <f>(H13*1000)/SUM('Population Figures'!$R15)</f>
        <v>201.27685442290948</v>
      </c>
      <c r="W13" s="8">
        <f>(I13*1000)/SUM('Population Figures'!$R15)</f>
        <v>29.754325920896072</v>
      </c>
      <c r="X13" s="185">
        <f>(J13*1000)/SUM('Population Figures'!$R15)</f>
        <v>9.8703269744472841</v>
      </c>
      <c r="Y13" s="186">
        <f>(K13*1000)/SUM('Population Figures'!$R15)</f>
        <v>0</v>
      </c>
      <c r="Z13" s="186">
        <f>(L13*1000)/SUM('Population Figures'!$R15)</f>
        <v>8.1911427173836399E-2</v>
      </c>
      <c r="AA13" s="186">
        <f>(M13*1000)/SUM('Population Figures'!$R15)</f>
        <v>31.576855175513934</v>
      </c>
      <c r="AC13" s="18"/>
      <c r="AD13" s="121"/>
    </row>
    <row r="14" spans="1:30">
      <c r="A14" s="7" t="s">
        <v>140</v>
      </c>
      <c r="B14" s="8">
        <f t="shared" ref="B14:M14" si="11">B56*$G$39</f>
        <v>332997.15424660937</v>
      </c>
      <c r="C14" s="7">
        <f t="shared" si="11"/>
        <v>1350.9609499395842</v>
      </c>
      <c r="D14" s="8">
        <f t="shared" si="11"/>
        <v>227.88606823032535</v>
      </c>
      <c r="E14" s="8">
        <f t="shared" si="11"/>
        <v>83198.041455399594</v>
      </c>
      <c r="F14" s="7">
        <f t="shared" si="11"/>
        <v>136812.32787144423</v>
      </c>
      <c r="G14" s="8">
        <f t="shared" si="11"/>
        <v>22723.184985263062</v>
      </c>
      <c r="H14" s="8">
        <f t="shared" si="11"/>
        <v>51717.053120729957</v>
      </c>
      <c r="I14" s="8">
        <f t="shared" si="11"/>
        <v>13109.445925039243</v>
      </c>
      <c r="J14" s="8">
        <f t="shared" si="11"/>
        <v>4178.274705543573</v>
      </c>
      <c r="K14" s="7">
        <f t="shared" si="11"/>
        <v>1383.67186882432</v>
      </c>
      <c r="L14" s="7">
        <f t="shared" si="11"/>
        <v>456.86250042347524</v>
      </c>
      <c r="M14" s="7">
        <f t="shared" si="11"/>
        <v>17839.444795772022</v>
      </c>
      <c r="N14" s="18"/>
      <c r="O14" s="7" t="s">
        <v>140</v>
      </c>
      <c r="P14" s="8">
        <f>(B14*1000)/SUM('Population Figures'!$Q16:$S16)</f>
        <v>706.02598165294046</v>
      </c>
      <c r="Q14" s="7">
        <f>(C14*1000)/SUM('Population Figures'!$Q16:$S16)</f>
        <v>2.8643293754682162</v>
      </c>
      <c r="R14" s="8">
        <f>(D14*1000)/SUM('Population Figures'!$Q16)</f>
        <v>2.8292309860122087</v>
      </c>
      <c r="S14" s="8">
        <f>(E14*1000)/SUM('Population Figures'!$Q16)</f>
        <v>1032.9129757210026</v>
      </c>
      <c r="T14" s="7">
        <f>(F14*1000)/SUM('Population Figures'!$S16)</f>
        <v>1994.0581237639444</v>
      </c>
      <c r="U14" s="8">
        <f>(G14*1000)/SUM('Population Figures'!$R16)</f>
        <v>70.461017712828067</v>
      </c>
      <c r="V14" s="8">
        <f>(H14*1000)/SUM('Population Figures'!$R16)</f>
        <v>160.36643623498793</v>
      </c>
      <c r="W14" s="8">
        <f>(I14*1000)/SUM('Population Figures'!$R16)</f>
        <v>40.650327061484255</v>
      </c>
      <c r="X14" s="185">
        <f>(J14*1000)/SUM('Population Figures'!$R16)</f>
        <v>12.956171779057446</v>
      </c>
      <c r="Y14" s="186">
        <f>(K14*1000)/SUM('Population Figures'!$R16)</f>
        <v>4.2905485353924577</v>
      </c>
      <c r="Z14" s="186">
        <f>(L14*1000)/SUM('Population Figures'!$R16)</f>
        <v>1.4166586574700077</v>
      </c>
      <c r="AA14" s="186">
        <f>(M14*1000)/SUM('Population Figures'!$R16)</f>
        <v>55.317308579634357</v>
      </c>
      <c r="AC14" s="18"/>
      <c r="AD14" s="121"/>
    </row>
    <row r="15" spans="1:30">
      <c r="A15" s="7" t="s">
        <v>42</v>
      </c>
      <c r="B15" s="8">
        <f t="shared" ref="B15:M15" si="12">B57*$G$39</f>
        <v>27775.931588991905</v>
      </c>
      <c r="C15" s="7">
        <f t="shared" si="12"/>
        <v>276.95244655742891</v>
      </c>
      <c r="D15" s="8">
        <f t="shared" si="12"/>
        <v>39.253102661682831</v>
      </c>
      <c r="E15" s="8">
        <f t="shared" si="12"/>
        <v>3335.4233622802162</v>
      </c>
      <c r="F15" s="7">
        <f t="shared" si="12"/>
        <v>17498.16087540795</v>
      </c>
      <c r="G15" s="8">
        <f t="shared" si="12"/>
        <v>1246.28600950843</v>
      </c>
      <c r="H15" s="8">
        <f t="shared" si="12"/>
        <v>3987.4610120492812</v>
      </c>
      <c r="I15" s="8">
        <f t="shared" si="12"/>
        <v>948.61664765733519</v>
      </c>
      <c r="J15" s="8">
        <f t="shared" si="12"/>
        <v>130.84367553894279</v>
      </c>
      <c r="K15" s="7">
        <f t="shared" si="12"/>
        <v>0</v>
      </c>
      <c r="L15" s="7">
        <f t="shared" si="12"/>
        <v>0</v>
      </c>
      <c r="M15" s="7">
        <f t="shared" si="12"/>
        <v>312.93445733063817</v>
      </c>
      <c r="N15" s="18"/>
      <c r="O15" s="7" t="s">
        <v>42</v>
      </c>
      <c r="P15" s="8">
        <f>(B15*1000)/SUM('Population Figures'!$Q17:$S17)</f>
        <v>1060.1500606485461</v>
      </c>
      <c r="Q15" s="7">
        <f>(C15*1000)/SUM('Population Figures'!$Q17:$S17)</f>
        <v>10.57070406707744</v>
      </c>
      <c r="R15" s="8">
        <f>(D15*1000)/SUM('Population Figures'!$Q17)</f>
        <v>7.5428713800312899</v>
      </c>
      <c r="S15" s="8">
        <f>(E15*1000)/SUM('Population Figures'!$Q17)</f>
        <v>640.93454309765877</v>
      </c>
      <c r="T15" s="7">
        <f>(F15*1000)/SUM('Population Figures'!$S17)</f>
        <v>3163.0804185480747</v>
      </c>
      <c r="U15" s="8">
        <f>(G15*1000)/SUM('Population Figures'!$R17)</f>
        <v>80.592732120307161</v>
      </c>
      <c r="V15" s="8">
        <f>(H15*1000)/SUM('Population Figures'!$R17)</f>
        <v>257.85443688885675</v>
      </c>
      <c r="W15" s="8">
        <f>(I15*1000)/SUM('Population Figures'!$R17)</f>
        <v>61.343549382910965</v>
      </c>
      <c r="X15" s="185">
        <f>(J15*1000)/SUM('Population Figures'!$R17)</f>
        <v>8.4611792252290989</v>
      </c>
      <c r="Y15" s="186">
        <f>(K15*1000)/SUM('Population Figures'!$R17)</f>
        <v>0</v>
      </c>
      <c r="Z15" s="186">
        <f>(L15*1000)/SUM('Population Figures'!$R17)</f>
        <v>0</v>
      </c>
      <c r="AA15" s="186">
        <f>(M15*1000)/SUM('Population Figures'!$R17)</f>
        <v>20.23632031367293</v>
      </c>
      <c r="AC15" s="18"/>
      <c r="AD15" s="121"/>
    </row>
    <row r="16" spans="1:30">
      <c r="A16" s="7" t="s">
        <v>43</v>
      </c>
      <c r="B16" s="8">
        <f t="shared" ref="B16:M16" si="13">B58*$G$39</f>
        <v>101978.47035108918</v>
      </c>
      <c r="C16" s="7">
        <f t="shared" si="13"/>
        <v>411.06721398484524</v>
      </c>
      <c r="D16" s="8">
        <f t="shared" si="13"/>
        <v>54.518198141226158</v>
      </c>
      <c r="E16" s="8">
        <f t="shared" si="13"/>
        <v>23945.482987589356</v>
      </c>
      <c r="F16" s="7">
        <f t="shared" si="13"/>
        <v>47282.542883922622</v>
      </c>
      <c r="G16" s="8">
        <f t="shared" si="13"/>
        <v>7317.4325545153752</v>
      </c>
      <c r="H16" s="8">
        <f t="shared" si="13"/>
        <v>15062.287782457963</v>
      </c>
      <c r="I16" s="8">
        <f t="shared" si="13"/>
        <v>4341.8292999672512</v>
      </c>
      <c r="J16" s="8">
        <f t="shared" si="13"/>
        <v>345.64537621537386</v>
      </c>
      <c r="K16" s="7">
        <f t="shared" si="13"/>
        <v>1.0903639628245232</v>
      </c>
      <c r="L16" s="7">
        <f t="shared" si="13"/>
        <v>0</v>
      </c>
      <c r="M16" s="7">
        <f t="shared" si="13"/>
        <v>3216.5736903323436</v>
      </c>
      <c r="N16" s="18"/>
      <c r="O16" s="7" t="s">
        <v>43</v>
      </c>
      <c r="P16" s="8">
        <f>(B16*1000)/SUM('Population Figures'!$Q18:$S18)</f>
        <v>672.81434552410883</v>
      </c>
      <c r="Q16" s="7">
        <f>(C16*1000)/SUM('Population Figures'!$Q18:$S18)</f>
        <v>2.7120618459117587</v>
      </c>
      <c r="R16" s="8">
        <f>(D16*1000)/SUM('Population Figures'!$Q18)</f>
        <v>1.691116016540299</v>
      </c>
      <c r="S16" s="8">
        <f>(E16*1000)/SUM('Population Figures'!$Q18)</f>
        <v>742.77197678483014</v>
      </c>
      <c r="T16" s="7">
        <f>(F16*1000)/SUM('Population Figures'!$S18)</f>
        <v>1948.8312127575064</v>
      </c>
      <c r="U16" s="8">
        <f>(G16*1000)/SUM('Population Figures'!$R18)</f>
        <v>76.96889191664431</v>
      </c>
      <c r="V16" s="8">
        <f>(H16*1000)/SUM('Population Figures'!$R18)</f>
        <v>158.43365712062652</v>
      </c>
      <c r="W16" s="8">
        <f>(I16*1000)/SUM('Population Figures'!$R18)</f>
        <v>45.669814872906812</v>
      </c>
      <c r="X16" s="185">
        <f>(J16*1000)/SUM('Population Figures'!$R18)</f>
        <v>3.6356934491992621</v>
      </c>
      <c r="Y16" s="186">
        <f>(K16*1000)/SUM('Population Figures'!$R18)</f>
        <v>1.1469064508515023E-2</v>
      </c>
      <c r="Z16" s="186">
        <f>(L16*1000)/SUM('Population Figures'!$R18)</f>
        <v>0</v>
      </c>
      <c r="AA16" s="186">
        <f>(M16*1000)/SUM('Population Figures'!$R18)</f>
        <v>33.833740300119324</v>
      </c>
      <c r="AC16" s="18"/>
      <c r="AD16" s="121"/>
    </row>
    <row r="17" spans="1:30">
      <c r="A17" s="7" t="s">
        <v>44</v>
      </c>
      <c r="B17" s="8">
        <f t="shared" ref="B17:M17" si="14">B59*$G$39</f>
        <v>239552.96263254774</v>
      </c>
      <c r="C17" s="7">
        <f t="shared" si="14"/>
        <v>1202.671450995449</v>
      </c>
      <c r="D17" s="8">
        <f t="shared" si="14"/>
        <v>214.80170067643107</v>
      </c>
      <c r="E17" s="8">
        <f t="shared" si="14"/>
        <v>44525.012421939406</v>
      </c>
      <c r="F17" s="7">
        <f t="shared" si="14"/>
        <v>107258.01265908552</v>
      </c>
      <c r="G17" s="8">
        <f t="shared" si="14"/>
        <v>20527.191964134472</v>
      </c>
      <c r="H17" s="8">
        <f t="shared" si="14"/>
        <v>49415.294795207388</v>
      </c>
      <c r="I17" s="8">
        <f t="shared" si="14"/>
        <v>8638.9536774586977</v>
      </c>
      <c r="J17" s="8">
        <f t="shared" si="14"/>
        <v>759.98368208869272</v>
      </c>
      <c r="K17" s="7">
        <f t="shared" si="14"/>
        <v>135.20513139024087</v>
      </c>
      <c r="L17" s="7">
        <f t="shared" si="14"/>
        <v>0</v>
      </c>
      <c r="M17" s="7">
        <f t="shared" si="14"/>
        <v>6875.8351495714433</v>
      </c>
      <c r="N17" s="18"/>
      <c r="O17" s="7" t="s">
        <v>44</v>
      </c>
      <c r="P17" s="8">
        <f>(B17*1000)/SUM('Population Figures'!$Q19:$S19)</f>
        <v>661.94966048398055</v>
      </c>
      <c r="Q17" s="7">
        <f>(C17*1000)/SUM('Population Figures'!$Q19:$S19)</f>
        <v>3.3233066705226699</v>
      </c>
      <c r="R17" s="8">
        <f>(D17*1000)/SUM('Population Figures'!$Q19)</f>
        <v>2.8938096227357746</v>
      </c>
      <c r="S17" s="8">
        <f>(E17*1000)/SUM('Population Figures'!$Q19)</f>
        <v>599.84119768738753</v>
      </c>
      <c r="T17" s="7">
        <f>(F17*1000)/SUM('Population Figures'!$S19)</f>
        <v>1736.8874817269691</v>
      </c>
      <c r="U17" s="8">
        <f>(G17*1000)/SUM('Population Figures'!$R19)</f>
        <v>90.864870209396145</v>
      </c>
      <c r="V17" s="8">
        <f>(H17*1000)/SUM('Population Figures'!$R19)</f>
        <v>218.73982353605828</v>
      </c>
      <c r="W17" s="8">
        <f>(I17*1000)/SUM('Population Figures'!$R19)</f>
        <v>38.240856616862089</v>
      </c>
      <c r="X17" s="185">
        <f>(J17*1000)/SUM('Population Figures'!$R19)</f>
        <v>3.3641142322293165</v>
      </c>
      <c r="Y17" s="186">
        <f>(K17*1000)/SUM('Population Figures'!$R19)</f>
        <v>0.59849378019574628</v>
      </c>
      <c r="Z17" s="186">
        <f>(L17*1000)/SUM('Population Figures'!$R19)</f>
        <v>0</v>
      </c>
      <c r="AA17" s="186">
        <f>(M17*1000)/SUM('Population Figures'!$R19)</f>
        <v>30.436304660599813</v>
      </c>
      <c r="AC17" s="18"/>
      <c r="AD17" s="121"/>
    </row>
    <row r="18" spans="1:30">
      <c r="A18" s="7" t="s">
        <v>45</v>
      </c>
      <c r="B18" s="8">
        <f t="shared" ref="B18:M18" si="15">B60*$G$39</f>
        <v>570972.36022495001</v>
      </c>
      <c r="C18" s="7">
        <f t="shared" si="15"/>
        <v>3201.3085948528001</v>
      </c>
      <c r="D18" s="8">
        <f t="shared" si="15"/>
        <v>511.38069856470139</v>
      </c>
      <c r="E18" s="8">
        <f t="shared" si="15"/>
        <v>145614.8361433266</v>
      </c>
      <c r="F18" s="7">
        <f t="shared" si="15"/>
        <v>247540.9690242002</v>
      </c>
      <c r="G18" s="8">
        <f t="shared" si="15"/>
        <v>34541.639978318068</v>
      </c>
      <c r="H18" s="8">
        <f t="shared" si="15"/>
        <v>70287.04177159442</v>
      </c>
      <c r="I18" s="8">
        <f t="shared" si="15"/>
        <v>25104.539880071821</v>
      </c>
      <c r="J18" s="8">
        <f t="shared" si="15"/>
        <v>21558.676272966473</v>
      </c>
      <c r="K18" s="7">
        <f t="shared" si="15"/>
        <v>67.602565695120433</v>
      </c>
      <c r="L18" s="7">
        <f t="shared" si="15"/>
        <v>3081.3685589421025</v>
      </c>
      <c r="M18" s="7">
        <f t="shared" si="15"/>
        <v>19462.996736417739</v>
      </c>
      <c r="N18" s="18"/>
      <c r="O18" s="7" t="s">
        <v>45</v>
      </c>
      <c r="P18" s="8">
        <f>(B18*1000)/SUM('Population Figures'!$Q20:$S20)</f>
        <v>977.29077130109192</v>
      </c>
      <c r="Q18" s="7">
        <f>(C18*1000)/SUM('Population Figures'!$Q20:$S20)</f>
        <v>5.4794409743475283</v>
      </c>
      <c r="R18" s="8">
        <f>(D18*1000)/SUM('Population Figures'!$Q20)</f>
        <v>4.6390469234963927</v>
      </c>
      <c r="S18" s="8">
        <f>(E18*1000)/SUM('Population Figures'!$Q20)</f>
        <v>1320.9611929470636</v>
      </c>
      <c r="T18" s="7">
        <f>(F18*1000)/SUM('Population Figures'!$S20)</f>
        <v>3003.0082010918245</v>
      </c>
      <c r="U18" s="8">
        <f>(G18*1000)/SUM('Population Figures'!$R20)</f>
        <v>88.212066598526633</v>
      </c>
      <c r="V18" s="8">
        <f>(H18*1000)/SUM('Population Figures'!$R20)</f>
        <v>179.49828710105194</v>
      </c>
      <c r="W18" s="8">
        <f>(I18*1000)/SUM('Population Figures'!$R20)</f>
        <v>64.111702432667613</v>
      </c>
      <c r="X18" s="185">
        <f>(J18*1000)/SUM('Population Figures'!$R20)</f>
        <v>55.056314302410712</v>
      </c>
      <c r="Y18" s="186">
        <f>(K18*1000)/SUM('Population Figures'!$R20)</f>
        <v>0.17264270113035926</v>
      </c>
      <c r="Z18" s="186">
        <f>(L18*1000)/SUM('Population Figures'!$R20)</f>
        <v>7.869165699909602</v>
      </c>
      <c r="AA18" s="186">
        <f>(M18*1000)/SUM('Population Figures'!$R20)</f>
        <v>49.704390567369572</v>
      </c>
      <c r="AC18" s="18"/>
      <c r="AD18" s="121"/>
    </row>
    <row r="19" spans="1:30">
      <c r="A19" s="7" t="s">
        <v>46</v>
      </c>
      <c r="B19" s="8">
        <f t="shared" ref="B19:M19" si="16">B61*$G$39</f>
        <v>144310.76084378848</v>
      </c>
      <c r="C19" s="7">
        <f t="shared" si="16"/>
        <v>440.50704098110737</v>
      </c>
      <c r="D19" s="8">
        <f t="shared" si="16"/>
        <v>121.03039987352207</v>
      </c>
      <c r="E19" s="8">
        <f t="shared" si="16"/>
        <v>27999.456201370933</v>
      </c>
      <c r="F19" s="7">
        <f t="shared" si="16"/>
        <v>66349.737501835058</v>
      </c>
      <c r="G19" s="8">
        <f t="shared" si="16"/>
        <v>10302.849084728919</v>
      </c>
      <c r="H19" s="8">
        <f t="shared" si="16"/>
        <v>28337.469029846532</v>
      </c>
      <c r="I19" s="8">
        <f t="shared" si="16"/>
        <v>6495.2981265456847</v>
      </c>
      <c r="J19" s="8">
        <f t="shared" si="16"/>
        <v>854.84534685442623</v>
      </c>
      <c r="K19" s="7">
        <f t="shared" si="16"/>
        <v>0</v>
      </c>
      <c r="L19" s="7">
        <f t="shared" si="16"/>
        <v>0</v>
      </c>
      <c r="M19" s="7">
        <f t="shared" si="16"/>
        <v>3409.568111752284</v>
      </c>
      <c r="N19" s="18"/>
      <c r="O19" s="7" t="s">
        <v>46</v>
      </c>
      <c r="P19" s="8">
        <f>(B19*1000)/SUM('Population Figures'!$Q21:$S21)</f>
        <v>657.75187257879884</v>
      </c>
      <c r="Q19" s="7">
        <f>(C19*1000)/SUM('Population Figures'!$Q21:$S21)</f>
        <v>2.0077804967233699</v>
      </c>
      <c r="R19" s="8">
        <f>(D19*1000)/SUM('Population Figures'!$Q21)</f>
        <v>2.7048317139749267</v>
      </c>
      <c r="S19" s="8">
        <f>(E19*1000)/SUM('Population Figures'!$Q21)</f>
        <v>625.74210435281213</v>
      </c>
      <c r="T19" s="7">
        <f>(F19*1000)/SUM('Population Figures'!$S21)</f>
        <v>1664.4441587897313</v>
      </c>
      <c r="U19" s="8">
        <f>(G19*1000)/SUM('Population Figures'!$R21)</f>
        <v>76.435734468391203</v>
      </c>
      <c r="V19" s="8">
        <f>(H19*1000)/SUM('Population Figures'!$R21)</f>
        <v>210.23264928553488</v>
      </c>
      <c r="W19" s="8">
        <f>(I19*1000)/SUM('Population Figures'!$R21)</f>
        <v>48.187921497323146</v>
      </c>
      <c r="X19" s="185">
        <f>(J19*1000)/SUM('Population Figures'!$R21)</f>
        <v>6.3420061195066895</v>
      </c>
      <c r="Y19" s="186">
        <f>(K19*1000)/SUM('Population Figures'!$R21)</f>
        <v>0</v>
      </c>
      <c r="Z19" s="186">
        <f>(L19*1000)/SUM('Population Figures'!$R21)</f>
        <v>0</v>
      </c>
      <c r="AA19" s="186">
        <f>(M19*1000)/SUM('Population Figures'!$R21)</f>
        <v>25.295220836348751</v>
      </c>
      <c r="AC19" s="18"/>
      <c r="AD19" s="121"/>
    </row>
    <row r="20" spans="1:30">
      <c r="A20" s="7" t="s">
        <v>47</v>
      </c>
      <c r="B20" s="8">
        <f t="shared" ref="B20:M20" si="17">B62*$G$39</f>
        <v>69846.534730613304</v>
      </c>
      <c r="C20" s="7">
        <f t="shared" si="17"/>
        <v>399.07321039377547</v>
      </c>
      <c r="D20" s="8">
        <f t="shared" si="17"/>
        <v>30.530190959086649</v>
      </c>
      <c r="E20" s="8">
        <f t="shared" si="17"/>
        <v>13968.652727744966</v>
      </c>
      <c r="F20" s="7">
        <f t="shared" si="17"/>
        <v>34507.838695470513</v>
      </c>
      <c r="G20" s="8">
        <f t="shared" si="17"/>
        <v>3669.0747349045205</v>
      </c>
      <c r="H20" s="8">
        <f t="shared" si="17"/>
        <v>10405.343297234425</v>
      </c>
      <c r="I20" s="8">
        <f t="shared" si="17"/>
        <v>3195.8567750386774</v>
      </c>
      <c r="J20" s="8">
        <f t="shared" si="17"/>
        <v>1294.2620238727091</v>
      </c>
      <c r="K20" s="7">
        <f t="shared" si="17"/>
        <v>0</v>
      </c>
      <c r="L20" s="7">
        <f t="shared" si="17"/>
        <v>0</v>
      </c>
      <c r="M20" s="7">
        <f t="shared" si="17"/>
        <v>2375.903074994636</v>
      </c>
      <c r="N20" s="18"/>
      <c r="O20" s="7" t="s">
        <v>47</v>
      </c>
      <c r="P20" s="8">
        <f>(B20*1000)/SUM('Population Figures'!$Q22:$S22)</f>
        <v>864.65133362977599</v>
      </c>
      <c r="Q20" s="7">
        <f>(C20*1000)/SUM('Population Figures'!$Q22:$S22)</f>
        <v>4.9402477147038315</v>
      </c>
      <c r="R20" s="8">
        <f>(D20*1000)/SUM('Population Figures'!$Q22)</f>
        <v>1.8685470934014718</v>
      </c>
      <c r="S20" s="8">
        <f>(E20*1000)/SUM('Population Figures'!$Q22)</f>
        <v>854.92702905593774</v>
      </c>
      <c r="T20" s="7">
        <f>(F20*1000)/SUM('Population Figures'!$S22)</f>
        <v>2423.9841736070885</v>
      </c>
      <c r="U20" s="8">
        <f>(G20*1000)/SUM('Population Figures'!$R22)</f>
        <v>73.081859075879308</v>
      </c>
      <c r="V20" s="8">
        <f>(H20*1000)/SUM('Population Figures'!$R22)</f>
        <v>207.25711178636442</v>
      </c>
      <c r="W20" s="8">
        <f>(I20*1000)/SUM('Population Figures'!$R22)</f>
        <v>63.656145305022953</v>
      </c>
      <c r="X20" s="185">
        <f>(J20*1000)/SUM('Population Figures'!$R22)</f>
        <v>25.779544345637071</v>
      </c>
      <c r="Y20" s="186">
        <f>(K20*1000)/SUM('Population Figures'!$R22)</f>
        <v>0</v>
      </c>
      <c r="Z20" s="186">
        <f>(L20*1000)/SUM('Population Figures'!$R22)</f>
        <v>0</v>
      </c>
      <c r="AA20" s="186">
        <f>(M20*1000)/SUM('Population Figures'!$R22)</f>
        <v>47.324032964737292</v>
      </c>
      <c r="AC20" s="18"/>
      <c r="AD20" s="121"/>
    </row>
    <row r="21" spans="1:30">
      <c r="A21" s="7" t="s">
        <v>48</v>
      </c>
      <c r="B21" s="8">
        <f t="shared" ref="B21:M21" si="18">B63*$G$39</f>
        <v>55916.044741567195</v>
      </c>
      <c r="C21" s="7">
        <f t="shared" si="18"/>
        <v>1132.8881573746796</v>
      </c>
      <c r="D21" s="8">
        <f t="shared" si="18"/>
        <v>53.427834178401639</v>
      </c>
      <c r="E21" s="8">
        <f t="shared" si="18"/>
        <v>12926.264779284722</v>
      </c>
      <c r="F21" s="7">
        <f t="shared" si="18"/>
        <v>23042.661626370649</v>
      </c>
      <c r="G21" s="8">
        <f t="shared" si="18"/>
        <v>3730.1351168226938</v>
      </c>
      <c r="H21" s="8">
        <f t="shared" si="18"/>
        <v>11357.231036780233</v>
      </c>
      <c r="I21" s="8">
        <f t="shared" si="18"/>
        <v>1883.0585637979516</v>
      </c>
      <c r="J21" s="8">
        <f t="shared" si="18"/>
        <v>722.91130735265892</v>
      </c>
      <c r="K21" s="7">
        <f t="shared" si="18"/>
        <v>3.2710918884735696</v>
      </c>
      <c r="L21" s="7">
        <f t="shared" si="18"/>
        <v>3.2710918884735696</v>
      </c>
      <c r="M21" s="7">
        <f t="shared" si="18"/>
        <v>1060.9241358282611</v>
      </c>
      <c r="N21" s="18"/>
      <c r="O21" s="7" t="s">
        <v>48</v>
      </c>
      <c r="P21" s="8">
        <f>(B21*1000)/SUM('Population Figures'!$Q23:$S23)</f>
        <v>694.09191585857991</v>
      </c>
      <c r="Q21" s="7">
        <f>(C21*1000)/SUM('Population Figures'!$Q23:$S23)</f>
        <v>14.062663323916082</v>
      </c>
      <c r="R21" s="8">
        <f>(D21*1000)/SUM('Population Figures'!$Q23)</f>
        <v>3.021594512973738</v>
      </c>
      <c r="S21" s="8">
        <f>(E21*1000)/SUM('Population Figures'!$Q23)</f>
        <v>731.04087655721753</v>
      </c>
      <c r="T21" s="7">
        <f>(F21*1000)/SUM('Population Figures'!$S23)</f>
        <v>1776.0645619215854</v>
      </c>
      <c r="U21" s="8">
        <f>(G21*1000)/SUM('Population Figures'!$R23)</f>
        <v>74.746215069387105</v>
      </c>
      <c r="V21" s="8">
        <f>(H21*1000)/SUM('Population Figures'!$R23)</f>
        <v>227.58157736414381</v>
      </c>
      <c r="W21" s="8">
        <f>(I21*1000)/SUM('Population Figures'!$R23)</f>
        <v>37.733619826024999</v>
      </c>
      <c r="X21" s="185">
        <f>(J21*1000)/SUM('Population Figures'!$R23)</f>
        <v>14.486039342590953</v>
      </c>
      <c r="Y21" s="186">
        <f>(K21*1000)/SUM('Population Figures'!$R23)</f>
        <v>6.5547689332990738E-2</v>
      </c>
      <c r="Z21" s="186">
        <f>(L21*1000)/SUM('Population Figures'!$R23)</f>
        <v>6.5547689332990738E-2</v>
      </c>
      <c r="AA21" s="186">
        <f>(M21*1000)/SUM('Population Figures'!$R23)</f>
        <v>21.25930057366666</v>
      </c>
      <c r="AC21" s="18"/>
      <c r="AD21" s="121"/>
    </row>
    <row r="22" spans="1:30">
      <c r="A22" s="7" t="s">
        <v>49</v>
      </c>
      <c r="B22" s="8">
        <f t="shared" ref="B22:M22" si="19">B64*$G$39</f>
        <v>53662.262430408911</v>
      </c>
      <c r="C22" s="7">
        <f t="shared" si="19"/>
        <v>376.17556717446053</v>
      </c>
      <c r="D22" s="8">
        <f t="shared" si="19"/>
        <v>58.879653992524254</v>
      </c>
      <c r="E22" s="8">
        <f t="shared" si="19"/>
        <v>12676.571431797907</v>
      </c>
      <c r="F22" s="7">
        <f t="shared" si="19"/>
        <v>23733.952378801398</v>
      </c>
      <c r="G22" s="8">
        <f t="shared" si="19"/>
        <v>3174.049495782187</v>
      </c>
      <c r="H22" s="8">
        <f t="shared" si="19"/>
        <v>9808.9142095694115</v>
      </c>
      <c r="I22" s="8">
        <f t="shared" si="19"/>
        <v>2545.9998531952615</v>
      </c>
      <c r="J22" s="8">
        <f t="shared" si="19"/>
        <v>553.90489311485783</v>
      </c>
      <c r="K22" s="7">
        <f t="shared" si="19"/>
        <v>0</v>
      </c>
      <c r="L22" s="7">
        <f t="shared" si="19"/>
        <v>0</v>
      </c>
      <c r="M22" s="7">
        <f t="shared" si="19"/>
        <v>733.8149469809041</v>
      </c>
      <c r="N22" s="18"/>
      <c r="O22" s="7" t="s">
        <v>49</v>
      </c>
      <c r="P22" s="8">
        <f>(B22*1000)/SUM('Population Figures'!$Q24:$S24)</f>
        <v>611.39640458481153</v>
      </c>
      <c r="Q22" s="7">
        <f>(C22*1000)/SUM('Population Figures'!$Q24:$S24)</f>
        <v>4.2859242016003245</v>
      </c>
      <c r="R22" s="8">
        <f>(D22*1000)/SUM('Population Figures'!$Q24)</f>
        <v>3.2596829979806374</v>
      </c>
      <c r="S22" s="8">
        <f>(E22*1000)/SUM('Population Figures'!$Q24)</f>
        <v>701.7976765652387</v>
      </c>
      <c r="T22" s="7">
        <f>(F22*1000)/SUM('Population Figures'!$S24)</f>
        <v>1489.796772255439</v>
      </c>
      <c r="U22" s="8">
        <f>(G22*1000)/SUM('Population Figures'!$R24)</f>
        <v>59.023532724304282</v>
      </c>
      <c r="V22" s="8">
        <f>(H22*1000)/SUM('Population Figures'!$R24)</f>
        <v>182.40319491165968</v>
      </c>
      <c r="W22" s="8">
        <f>(I22*1000)/SUM('Population Figures'!$R24)</f>
        <v>47.344537585451903</v>
      </c>
      <c r="X22" s="185">
        <f>(J22*1000)/SUM('Population Figures'!$R24)</f>
        <v>10.300224879404526</v>
      </c>
      <c r="Y22" s="186">
        <f>(K22*1000)/SUM('Population Figures'!$R24)</f>
        <v>0</v>
      </c>
      <c r="Z22" s="186">
        <f>(L22*1000)/SUM('Population Figures'!$R24)</f>
        <v>0</v>
      </c>
      <c r="AA22" s="186">
        <f>(M22*1000)/SUM('Population Figures'!$R24)</f>
        <v>13.645770361888278</v>
      </c>
      <c r="AC22" s="18"/>
      <c r="AD22" s="121"/>
    </row>
    <row r="23" spans="1:30">
      <c r="A23" s="7" t="s">
        <v>50</v>
      </c>
      <c r="B23" s="8">
        <f t="shared" ref="B23:M23" si="20">B65*$G$39</f>
        <v>98637.595168994842</v>
      </c>
      <c r="C23" s="7">
        <f t="shared" si="20"/>
        <v>823.22479193251502</v>
      </c>
      <c r="D23" s="8">
        <f t="shared" si="20"/>
        <v>190.81369349429156</v>
      </c>
      <c r="E23" s="8">
        <f t="shared" si="20"/>
        <v>22642.498052014049</v>
      </c>
      <c r="F23" s="7">
        <f t="shared" si="20"/>
        <v>46919.451684302061</v>
      </c>
      <c r="G23" s="8">
        <f t="shared" si="20"/>
        <v>5739.6759003082898</v>
      </c>
      <c r="H23" s="8">
        <f t="shared" si="20"/>
        <v>14279.406457149957</v>
      </c>
      <c r="I23" s="8">
        <f t="shared" si="20"/>
        <v>3323.4293586891467</v>
      </c>
      <c r="J23" s="8">
        <f t="shared" si="20"/>
        <v>1558.1301028762437</v>
      </c>
      <c r="K23" s="7">
        <f t="shared" si="20"/>
        <v>0</v>
      </c>
      <c r="L23" s="7">
        <f t="shared" si="20"/>
        <v>0</v>
      </c>
      <c r="M23" s="7">
        <f t="shared" si="20"/>
        <v>3160.9651282282925</v>
      </c>
      <c r="N23" s="18"/>
      <c r="O23" s="7" t="s">
        <v>50</v>
      </c>
      <c r="P23" s="8">
        <f>(B23*1000)/SUM('Population Figures'!$Q25:$S25)</f>
        <v>725.70331937165133</v>
      </c>
      <c r="Q23" s="7">
        <f>(C23*1000)/SUM('Population Figures'!$Q25:$S25)</f>
        <v>6.0566862266959607</v>
      </c>
      <c r="R23" s="8">
        <f>(D23*1000)/SUM('Population Figures'!$Q25)</f>
        <v>6.685599435699225</v>
      </c>
      <c r="S23" s="8">
        <f>(E23*1000)/SUM('Population Figures'!$Q25)</f>
        <v>793.33233075274336</v>
      </c>
      <c r="T23" s="7">
        <f>(F23*1000)/SUM('Population Figures'!$S25)</f>
        <v>1923.4801657976493</v>
      </c>
      <c r="U23" s="8">
        <f>(G23*1000)/SUM('Population Figures'!$R25)</f>
        <v>69.164387972769987</v>
      </c>
      <c r="V23" s="8">
        <f>(H23*1000)/SUM('Population Figures'!$R25)</f>
        <v>172.07006551888219</v>
      </c>
      <c r="W23" s="8">
        <f>(I23*1000)/SUM('Population Figures'!$R25)</f>
        <v>40.048072671163169</v>
      </c>
      <c r="X23" s="185">
        <f>(J23*1000)/SUM('Population Figures'!$R25)</f>
        <v>18.775818847471182</v>
      </c>
      <c r="Y23" s="186">
        <f>(K23*1000)/SUM('Population Figures'!$R25)</f>
        <v>0</v>
      </c>
      <c r="Z23" s="186">
        <f>(L23*1000)/SUM('Population Figures'!$R25)</f>
        <v>0</v>
      </c>
      <c r="AA23" s="186">
        <f>(M23*1000)/SUM('Population Figures'!$R25)</f>
        <v>38.090342084547906</v>
      </c>
      <c r="AC23" s="18"/>
      <c r="AD23" s="121"/>
    </row>
    <row r="24" spans="1:30">
      <c r="A24" s="7" t="s">
        <v>51</v>
      </c>
      <c r="B24" s="8">
        <f t="shared" ref="B24:M24" si="21">B66*$G$39</f>
        <v>209823.0988221743</v>
      </c>
      <c r="C24" s="7">
        <f t="shared" si="21"/>
        <v>915.90572877259945</v>
      </c>
      <c r="D24" s="8">
        <f t="shared" si="21"/>
        <v>66.512201732295921</v>
      </c>
      <c r="E24" s="8">
        <f t="shared" si="21"/>
        <v>29556.495940284349</v>
      </c>
      <c r="F24" s="7">
        <f t="shared" si="21"/>
        <v>102232.52515442729</v>
      </c>
      <c r="G24" s="8">
        <f t="shared" si="21"/>
        <v>6410.2497374453715</v>
      </c>
      <c r="H24" s="8">
        <f t="shared" si="21"/>
        <v>54330.65553962034</v>
      </c>
      <c r="I24" s="8">
        <f t="shared" si="21"/>
        <v>7854.9819881878648</v>
      </c>
      <c r="J24" s="8">
        <f t="shared" si="21"/>
        <v>2068.4204374781207</v>
      </c>
      <c r="K24" s="7">
        <f t="shared" si="21"/>
        <v>0</v>
      </c>
      <c r="L24" s="7">
        <f t="shared" si="21"/>
        <v>10.903639628245232</v>
      </c>
      <c r="M24" s="7">
        <f t="shared" si="21"/>
        <v>6376.4484545978112</v>
      </c>
      <c r="N24" s="18"/>
      <c r="O24" s="7" t="s">
        <v>51</v>
      </c>
      <c r="P24" s="8">
        <f>(B24*1000)/SUM('Population Figures'!$Q26:$S26)</f>
        <v>644.57820970193632</v>
      </c>
      <c r="Q24" s="7">
        <f>(C24*1000)/SUM('Population Figures'!$Q26:$S26)</f>
        <v>2.813669601783606</v>
      </c>
      <c r="R24" s="8">
        <f>(D24*1000)/SUM('Population Figures'!$Q26)</f>
        <v>0.92416564863548578</v>
      </c>
      <c r="S24" s="8">
        <f>(E24*1000)/SUM('Population Figures'!$Q26)</f>
        <v>410.67800389446086</v>
      </c>
      <c r="T24" s="7">
        <f>(F24*1000)/SUM('Population Figures'!$S26)</f>
        <v>2121.4028585094165</v>
      </c>
      <c r="U24" s="8">
        <f>(G24*1000)/SUM('Population Figures'!$R26)</f>
        <v>31.214846865466676</v>
      </c>
      <c r="V24" s="8">
        <f>(H24*1000)/SUM('Population Figures'!$R26)</f>
        <v>264.56427787250783</v>
      </c>
      <c r="W24" s="8">
        <f>(I24*1000)/SUM('Population Figures'!$R26)</f>
        <v>38.250001159860851</v>
      </c>
      <c r="X24" s="185">
        <f>(J24*1000)/SUM('Population Figures'!$R26)</f>
        <v>10.072217129408113</v>
      </c>
      <c r="Y24" s="186">
        <f>(K24*1000)/SUM('Population Figures'!$R26)</f>
        <v>0</v>
      </c>
      <c r="Z24" s="186">
        <f>(L24*1000)/SUM('Population Figures'!$R26)</f>
        <v>5.3095504108635276E-2</v>
      </c>
      <c r="AA24" s="186">
        <f>(M24*1000)/SUM('Population Figures'!$R26)</f>
        <v>31.050250802729909</v>
      </c>
      <c r="AC24" s="18"/>
      <c r="AD24" s="121"/>
    </row>
    <row r="25" spans="1:30">
      <c r="A25" s="7" t="s">
        <v>52</v>
      </c>
      <c r="B25" s="8">
        <f t="shared" ref="B25:M25" si="22">B67*$G$39</f>
        <v>20793.240771063658</v>
      </c>
      <c r="C25" s="7">
        <f t="shared" si="22"/>
        <v>933.35155217779186</v>
      </c>
      <c r="D25" s="8">
        <f t="shared" si="22"/>
        <v>53.427834178401639</v>
      </c>
      <c r="E25" s="8">
        <f t="shared" si="22"/>
        <v>2830.5848474924624</v>
      </c>
      <c r="F25" s="7">
        <f t="shared" si="22"/>
        <v>13027.668627827403</v>
      </c>
      <c r="G25" s="8">
        <f t="shared" si="22"/>
        <v>1213.5750906236942</v>
      </c>
      <c r="H25" s="8">
        <f t="shared" si="22"/>
        <v>2048.793886147279</v>
      </c>
      <c r="I25" s="8">
        <f t="shared" si="22"/>
        <v>619.32673088432921</v>
      </c>
      <c r="J25" s="8">
        <f t="shared" si="22"/>
        <v>77.415841360541151</v>
      </c>
      <c r="K25" s="7">
        <f t="shared" si="22"/>
        <v>0</v>
      </c>
      <c r="L25" s="7">
        <f t="shared" si="22"/>
        <v>0</v>
      </c>
      <c r="M25" s="7">
        <f t="shared" si="22"/>
        <v>-10.903639628245232</v>
      </c>
      <c r="N25" s="18"/>
      <c r="O25" s="7" t="s">
        <v>52</v>
      </c>
      <c r="P25" s="8">
        <f>(B25*1000)/SUM('Population Figures'!$Q27:$S27)</f>
        <v>1045.4118034722806</v>
      </c>
      <c r="Q25" s="7">
        <f>(C25*1000)/SUM('Population Figures'!$Q27:$S27)</f>
        <v>46.925668787219301</v>
      </c>
      <c r="R25" s="8">
        <f>(D25*1000)/SUM('Population Figures'!$Q27)</f>
        <v>13.234539058311032</v>
      </c>
      <c r="S25" s="8">
        <f>(E25*1000)/SUM('Population Figures'!$Q27)</f>
        <v>701.16047745664173</v>
      </c>
      <c r="T25" s="7">
        <f>(F25*1000)/SUM('Population Figures'!$S27)</f>
        <v>3441.0112593310623</v>
      </c>
      <c r="U25" s="8">
        <f>(G25*1000)/SUM('Population Figures'!$R27)</f>
        <v>100.56974315270524</v>
      </c>
      <c r="V25" s="8">
        <f>(H25*1000)/SUM('Population Figures'!$R27)</f>
        <v>169.78485838628316</v>
      </c>
      <c r="W25" s="8">
        <f>(I25*1000)/SUM('Population Figures'!$R27)</f>
        <v>51.324001896438979</v>
      </c>
      <c r="X25" s="185">
        <f>(J25*1000)/SUM('Population Figures'!$R27)</f>
        <v>6.4155002370548724</v>
      </c>
      <c r="Y25" s="186">
        <f>(K25*1000)/SUM('Population Figures'!$R27)</f>
        <v>0</v>
      </c>
      <c r="Z25" s="186">
        <f>(L25*1000)/SUM('Population Figures'!$R27)</f>
        <v>0</v>
      </c>
      <c r="AA25" s="186">
        <f>(M25*1000)/SUM('Population Figures'!$R27)</f>
        <v>-0.90359158268378481</v>
      </c>
      <c r="AC25" s="18"/>
      <c r="AD25" s="121"/>
    </row>
    <row r="26" spans="1:30">
      <c r="A26" s="7" t="s">
        <v>53</v>
      </c>
      <c r="B26" s="8">
        <f t="shared" ref="B26:M26" si="23">B68*$G$39</f>
        <v>91928.585705735546</v>
      </c>
      <c r="C26" s="7">
        <f t="shared" si="23"/>
        <v>541.910889523788</v>
      </c>
      <c r="D26" s="8">
        <f t="shared" si="23"/>
        <v>0</v>
      </c>
      <c r="E26" s="8">
        <f t="shared" si="23"/>
        <v>16047.976804851332</v>
      </c>
      <c r="F26" s="7">
        <f t="shared" si="23"/>
        <v>49596.295213036261</v>
      </c>
      <c r="G26" s="8">
        <f t="shared" si="23"/>
        <v>2454.4092803180015</v>
      </c>
      <c r="H26" s="8">
        <f t="shared" si="23"/>
        <v>15359.957144309059</v>
      </c>
      <c r="I26" s="8">
        <f t="shared" si="23"/>
        <v>4377.8113107404606</v>
      </c>
      <c r="J26" s="8">
        <f t="shared" si="23"/>
        <v>1186.3159915530812</v>
      </c>
      <c r="K26" s="7">
        <f t="shared" si="23"/>
        <v>0</v>
      </c>
      <c r="L26" s="7">
        <f t="shared" si="23"/>
        <v>0</v>
      </c>
      <c r="M26" s="7">
        <f t="shared" si="23"/>
        <v>2363.9090714035665</v>
      </c>
      <c r="N26" s="18"/>
      <c r="O26" s="7" t="s">
        <v>53</v>
      </c>
      <c r="P26" s="8">
        <f>(B26*1000)/SUM('Population Figures'!$Q28:$S28)</f>
        <v>637.59596133815751</v>
      </c>
      <c r="Q26" s="7">
        <f>(C26*1000)/SUM('Population Figures'!$Q28:$S28)</f>
        <v>3.7585718513232624</v>
      </c>
      <c r="R26" s="8">
        <f>(D26*1000)/SUM('Population Figures'!$Q28)</f>
        <v>0</v>
      </c>
      <c r="S26" s="8">
        <f>(E26*1000)/SUM('Population Figures'!$Q28)</f>
        <v>559.92382697223866</v>
      </c>
      <c r="T26" s="7">
        <f>(F26*1000)/SUM('Population Figures'!$S28)</f>
        <v>1771.2329992870348</v>
      </c>
      <c r="U26" s="8">
        <f>(G26*1000)/SUM('Population Figures'!$R28)</f>
        <v>28.044622595557499</v>
      </c>
      <c r="V26" s="8">
        <f>(H26*1000)/SUM('Population Figures'!$R28)</f>
        <v>175.50626321795585</v>
      </c>
      <c r="W26" s="8">
        <f>(I26*1000)/SUM('Population Figures'!$R28)</f>
        <v>50.021839058713184</v>
      </c>
      <c r="X26" s="185">
        <f>(J26*1000)/SUM('Population Figures'!$R28)</f>
        <v>13.55510856684432</v>
      </c>
      <c r="Y26" s="186">
        <f>(K26*1000)/SUM('Population Figures'!$R28)</f>
        <v>0</v>
      </c>
      <c r="Z26" s="186">
        <f>(L26*1000)/SUM('Population Figures'!$R28)</f>
        <v>0</v>
      </c>
      <c r="AA26" s="186">
        <f>(M26*1000)/SUM('Population Figures'!$R28)</f>
        <v>27.010547217755963</v>
      </c>
      <c r="AC26" s="18"/>
      <c r="AD26" s="121"/>
    </row>
    <row r="27" spans="1:30">
      <c r="A27" s="7" t="s">
        <v>54</v>
      </c>
      <c r="B27" s="8">
        <f t="shared" ref="B27:M27" si="24">B69*$G$39</f>
        <v>131328.88750239971</v>
      </c>
      <c r="C27" s="7">
        <f t="shared" si="24"/>
        <v>330.38028073583052</v>
      </c>
      <c r="D27" s="8">
        <f t="shared" si="24"/>
        <v>0</v>
      </c>
      <c r="E27" s="8">
        <f t="shared" si="24"/>
        <v>32278.044391494361</v>
      </c>
      <c r="F27" s="7">
        <f t="shared" si="24"/>
        <v>51549.137070454984</v>
      </c>
      <c r="G27" s="8">
        <f t="shared" si="24"/>
        <v>11384.490135850847</v>
      </c>
      <c r="H27" s="8">
        <f t="shared" si="24"/>
        <v>22549.817115173963</v>
      </c>
      <c r="I27" s="8">
        <f t="shared" si="24"/>
        <v>6343.7375357130759</v>
      </c>
      <c r="J27" s="8">
        <f t="shared" si="24"/>
        <v>2382.4452587715832</v>
      </c>
      <c r="K27" s="7">
        <f t="shared" si="24"/>
        <v>0</v>
      </c>
      <c r="L27" s="7">
        <f t="shared" si="24"/>
        <v>0</v>
      </c>
      <c r="M27" s="7">
        <f t="shared" si="24"/>
        <v>4510.8357142050527</v>
      </c>
      <c r="N27" s="18"/>
      <c r="O27" s="7" t="s">
        <v>54</v>
      </c>
      <c r="P27" s="8">
        <f>(B27*1000)/SUM('Population Figures'!$Q29:$S29)</f>
        <v>773.43278858892643</v>
      </c>
      <c r="Q27" s="7">
        <f>(C27*1000)/SUM('Population Figures'!$Q29:$S29)</f>
        <v>1.9457024778317464</v>
      </c>
      <c r="R27" s="8">
        <f>(D27*1000)/SUM('Population Figures'!$Q29)</f>
        <v>0</v>
      </c>
      <c r="S27" s="8">
        <f>(E27*1000)/SUM('Population Figures'!$Q29)</f>
        <v>918.79093653737038</v>
      </c>
      <c r="T27" s="7">
        <f>(F27*1000)/SUM('Population Figures'!$S29)</f>
        <v>1854.2855061314742</v>
      </c>
      <c r="U27" s="8">
        <f>(G27*1000)/SUM('Population Figures'!$R29)</f>
        <v>106.52752562343474</v>
      </c>
      <c r="V27" s="8">
        <f>(H27*1000)/SUM('Population Figures'!$R29)</f>
        <v>211.00428669842481</v>
      </c>
      <c r="W27" s="8">
        <f>(I27*1000)/SUM('Population Figures'!$R29)</f>
        <v>59.359941009208242</v>
      </c>
      <c r="X27" s="185">
        <f>(J27*1000)/SUM('Population Figures'!$R29)</f>
        <v>22.293137006723967</v>
      </c>
      <c r="Y27" s="186">
        <f>(K27*1000)/SUM('Population Figures'!$R29)</f>
        <v>0</v>
      </c>
      <c r="Z27" s="186">
        <f>(L27*1000)/SUM('Population Figures'!$R29)</f>
        <v>0</v>
      </c>
      <c r="AA27" s="186">
        <f>(M27*1000)/SUM('Population Figures'!$R29)</f>
        <v>42.209019586643954</v>
      </c>
      <c r="AC27" s="18"/>
      <c r="AD27" s="121"/>
    </row>
    <row r="28" spans="1:30">
      <c r="A28" s="7" t="s">
        <v>55</v>
      </c>
      <c r="B28" s="8">
        <f t="shared" ref="B28:M28" si="25">B70*$G$39</f>
        <v>75152.245773717441</v>
      </c>
      <c r="C28" s="7">
        <f t="shared" si="25"/>
        <v>859.20680270572427</v>
      </c>
      <c r="D28" s="8">
        <f t="shared" si="25"/>
        <v>31.620554921911172</v>
      </c>
      <c r="E28" s="8">
        <f t="shared" si="25"/>
        <v>11622.189479746592</v>
      </c>
      <c r="F28" s="7">
        <f t="shared" si="25"/>
        <v>36890.283954242092</v>
      </c>
      <c r="G28" s="8">
        <f t="shared" si="25"/>
        <v>5986.0981559066322</v>
      </c>
      <c r="H28" s="8">
        <f t="shared" si="25"/>
        <v>15018.673223944983</v>
      </c>
      <c r="I28" s="8">
        <f t="shared" si="25"/>
        <v>2832.7655754181114</v>
      </c>
      <c r="J28" s="8">
        <f t="shared" si="25"/>
        <v>210.44024482513296</v>
      </c>
      <c r="K28" s="7">
        <f t="shared" si="25"/>
        <v>0</v>
      </c>
      <c r="L28" s="7">
        <f t="shared" si="25"/>
        <v>0</v>
      </c>
      <c r="M28" s="7">
        <f t="shared" si="25"/>
        <v>1700.9677820062561</v>
      </c>
      <c r="N28" s="18"/>
      <c r="O28" s="7" t="s">
        <v>55</v>
      </c>
      <c r="P28" s="8">
        <f>(B28*1000)/SUM('Population Figures'!$Q30:$S30)</f>
        <v>668.43587809052258</v>
      </c>
      <c r="Q28" s="7">
        <f>(C28*1000)/SUM('Population Figures'!$Q30:$S30)</f>
        <v>7.6421489167101688</v>
      </c>
      <c r="R28" s="8">
        <f>(D28*1000)/SUM('Population Figures'!$Q30)</f>
        <v>1.3758835141376369</v>
      </c>
      <c r="S28" s="8">
        <f>(E28*1000)/SUM('Population Figures'!$Q30)</f>
        <v>505.70835783424383</v>
      </c>
      <c r="T28" s="7">
        <f>(F28*1000)/SUM('Population Figures'!$S30)</f>
        <v>1676.907311888817</v>
      </c>
      <c r="U28" s="8">
        <f>(G28*1000)/SUM('Population Figures'!$R30)</f>
        <v>88.749991191961811</v>
      </c>
      <c r="V28" s="8">
        <f>(H28*1000)/SUM('Population Figures'!$R30)</f>
        <v>222.66709994136284</v>
      </c>
      <c r="W28" s="8">
        <f>(I28*1000)/SUM('Population Figures'!$R30)</f>
        <v>41.998629711605972</v>
      </c>
      <c r="X28" s="185">
        <f>(J28*1000)/SUM('Population Figures'!$R30)</f>
        <v>3.119990582886818</v>
      </c>
      <c r="Y28" s="186">
        <f>(K28*1000)/SUM('Population Figures'!$R30)</f>
        <v>0</v>
      </c>
      <c r="Z28" s="186">
        <f>(L28*1000)/SUM('Population Figures'!$R30)</f>
        <v>0</v>
      </c>
      <c r="AA28" s="186">
        <f>(M28*1000)/SUM('Population Figures'!$R30)</f>
        <v>25.218576732142154</v>
      </c>
      <c r="AC28" s="18"/>
      <c r="AD28" s="121"/>
    </row>
    <row r="29" spans="1:30">
      <c r="A29" s="7" t="s">
        <v>56</v>
      </c>
      <c r="B29" s="8">
        <f t="shared" ref="B29:M29" si="26">B71*$G$39</f>
        <v>25953.933407112127</v>
      </c>
      <c r="C29" s="7">
        <f t="shared" si="26"/>
        <v>335.83210054995317</v>
      </c>
      <c r="D29" s="8">
        <f t="shared" si="26"/>
        <v>38.162738698858313</v>
      </c>
      <c r="E29" s="8">
        <f t="shared" si="26"/>
        <v>4677.6614005172041</v>
      </c>
      <c r="F29" s="7">
        <f t="shared" si="26"/>
        <v>12348.371878987726</v>
      </c>
      <c r="G29" s="8">
        <f t="shared" si="26"/>
        <v>1872.1549241697064</v>
      </c>
      <c r="H29" s="8">
        <f t="shared" si="26"/>
        <v>4562.0828204578047</v>
      </c>
      <c r="I29" s="8">
        <f t="shared" si="26"/>
        <v>1115.4423339694872</v>
      </c>
      <c r="J29" s="8">
        <f t="shared" si="26"/>
        <v>497.2059670479826</v>
      </c>
      <c r="K29" s="7">
        <f t="shared" si="26"/>
        <v>0</v>
      </c>
      <c r="L29" s="7">
        <f t="shared" si="26"/>
        <v>0</v>
      </c>
      <c r="M29" s="7">
        <f t="shared" si="26"/>
        <v>507.01924271340329</v>
      </c>
      <c r="N29" s="18"/>
      <c r="O29" s="7" t="s">
        <v>56</v>
      </c>
      <c r="P29" s="8">
        <f>(B29*1000)/SUM('Population Figures'!$Q31:$S31)</f>
        <v>1180.7976982307609</v>
      </c>
      <c r="Q29" s="7">
        <f>(C29*1000)/SUM('Population Figures'!$Q31:$S31)</f>
        <v>15.2789854663309</v>
      </c>
      <c r="R29" s="8">
        <f>(D29*1000)/SUM('Population Figures'!$Q31)</f>
        <v>7.7708692117406457</v>
      </c>
      <c r="S29" s="8">
        <f>(E29*1000)/SUM('Population Figures'!$Q31)</f>
        <v>952.48654052478184</v>
      </c>
      <c r="T29" s="7">
        <f>(F29*1000)/SUM('Population Figures'!$S31)</f>
        <v>3411.1524527590404</v>
      </c>
      <c r="U29" s="8">
        <f>(G29*1000)/SUM('Population Figures'!$R31)</f>
        <v>139.20402440104888</v>
      </c>
      <c r="V29" s="8">
        <f>(H29*1000)/SUM('Population Figures'!$R31)</f>
        <v>339.21353412579413</v>
      </c>
      <c r="W29" s="8">
        <f>(I29*1000)/SUM('Population Figures'!$R31)</f>
        <v>82.938681981521825</v>
      </c>
      <c r="X29" s="185">
        <f>(J29*1000)/SUM('Population Figures'!$R31)</f>
        <v>36.969735076807389</v>
      </c>
      <c r="Y29" s="186">
        <f>(K29*1000)/SUM('Population Figures'!$R31)</f>
        <v>0</v>
      </c>
      <c r="Z29" s="186">
        <f>(L29*1000)/SUM('Population Figures'!$R31)</f>
        <v>0</v>
      </c>
      <c r="AA29" s="186">
        <f>(M29*1000)/SUM('Population Figures'!$R31)</f>
        <v>37.699400900691749</v>
      </c>
      <c r="AC29" s="18"/>
      <c r="AD29" s="121"/>
    </row>
    <row r="30" spans="1:30">
      <c r="A30" s="7" t="s">
        <v>57</v>
      </c>
      <c r="B30" s="8">
        <f t="shared" ref="B30:M30" si="27">B72*$G$39</f>
        <v>90517.65473784061</v>
      </c>
      <c r="C30" s="7">
        <f t="shared" si="27"/>
        <v>46.885650401454498</v>
      </c>
      <c r="D30" s="8">
        <f t="shared" si="27"/>
        <v>42.524194550156402</v>
      </c>
      <c r="E30" s="8">
        <f t="shared" si="27"/>
        <v>18415.156968143372</v>
      </c>
      <c r="F30" s="7">
        <f t="shared" si="27"/>
        <v>46362.275699298727</v>
      </c>
      <c r="G30" s="8">
        <f t="shared" si="27"/>
        <v>2772.7955574627626</v>
      </c>
      <c r="H30" s="8">
        <f t="shared" si="27"/>
        <v>15822.271464546657</v>
      </c>
      <c r="I30" s="8">
        <f t="shared" si="27"/>
        <v>4221.8892640565537</v>
      </c>
      <c r="J30" s="8">
        <f t="shared" si="27"/>
        <v>1207.0329068467472</v>
      </c>
      <c r="K30" s="7">
        <f t="shared" si="27"/>
        <v>0</v>
      </c>
      <c r="L30" s="7">
        <f t="shared" si="27"/>
        <v>0</v>
      </c>
      <c r="M30" s="7">
        <f t="shared" si="27"/>
        <v>1626.8230325341885</v>
      </c>
      <c r="N30" s="18"/>
      <c r="O30" s="7" t="s">
        <v>57</v>
      </c>
      <c r="P30" s="8">
        <f>(B30*1000)/SUM('Population Figures'!$Q32:$S32)</f>
        <v>810.58166685627839</v>
      </c>
      <c r="Q30" s="7">
        <f>(C30*1000)/SUM('Population Figures'!$Q32:$S32)</f>
        <v>0.41985896302905434</v>
      </c>
      <c r="R30" s="8">
        <f>(D30*1000)/SUM('Population Figures'!$Q32)</f>
        <v>1.9966285355505871</v>
      </c>
      <c r="S30" s="8">
        <f>(E30*1000)/SUM('Population Figures'!$Q32)</f>
        <v>864.64254710035561</v>
      </c>
      <c r="T30" s="7">
        <f>(F30*1000)/SUM('Population Figures'!$S32)</f>
        <v>2002.5170913657016</v>
      </c>
      <c r="U30" s="8">
        <f>(G30*1000)/SUM('Population Figures'!$R32)</f>
        <v>41.249561997363323</v>
      </c>
      <c r="V30" s="8">
        <f>(H30*1000)/SUM('Population Figures'!$R32)</f>
        <v>235.38041452762059</v>
      </c>
      <c r="W30" s="8">
        <f>(I30*1000)/SUM('Population Figures'!$R32)</f>
        <v>62.807040524495001</v>
      </c>
      <c r="X30" s="185">
        <f>(J30*1000)/SUM('Population Figures'!$R32)</f>
        <v>17.95645502598553</v>
      </c>
      <c r="Y30" s="186">
        <f>(K30*1000)/SUM('Population Figures'!$R32)</f>
        <v>0</v>
      </c>
      <c r="Z30" s="186">
        <f>(L30*1000)/SUM('Population Figures'!$R32)</f>
        <v>0</v>
      </c>
      <c r="AA30" s="186">
        <f>(M30*1000)/SUM('Population Figures'!$R32)</f>
        <v>24.2014732599552</v>
      </c>
      <c r="AC30" s="18"/>
      <c r="AD30" s="121"/>
    </row>
    <row r="31" spans="1:30">
      <c r="A31" s="7" t="s">
        <v>58</v>
      </c>
      <c r="B31" s="8">
        <f t="shared" ref="B31:M31" si="28">B73*$G$39</f>
        <v>194867.66670807314</v>
      </c>
      <c r="C31" s="7">
        <f t="shared" si="28"/>
        <v>1095.8157826386457</v>
      </c>
      <c r="D31" s="8">
        <f t="shared" si="28"/>
        <v>80.686933249014714</v>
      </c>
      <c r="E31" s="8">
        <f t="shared" si="28"/>
        <v>35072.647228213616</v>
      </c>
      <c r="F31" s="7">
        <f t="shared" si="28"/>
        <v>93648.089675109819</v>
      </c>
      <c r="G31" s="8">
        <f t="shared" si="28"/>
        <v>5639.3624157284339</v>
      </c>
      <c r="H31" s="8">
        <f t="shared" si="28"/>
        <v>44370.180739218325</v>
      </c>
      <c r="I31" s="8">
        <f t="shared" si="28"/>
        <v>8702.1947873025201</v>
      </c>
      <c r="J31" s="8">
        <f t="shared" si="28"/>
        <v>1187.4063555159057</v>
      </c>
      <c r="K31" s="7">
        <f t="shared" si="28"/>
        <v>0</v>
      </c>
      <c r="L31" s="7">
        <f t="shared" si="28"/>
        <v>0</v>
      </c>
      <c r="M31" s="7">
        <f t="shared" si="28"/>
        <v>5071.2827910968572</v>
      </c>
      <c r="N31" s="18"/>
      <c r="O31" s="7" t="s">
        <v>58</v>
      </c>
      <c r="P31" s="8">
        <f>(B31*1000)/SUM('Population Figures'!$Q33:$S33)</f>
        <v>628.42293111055869</v>
      </c>
      <c r="Q31" s="7">
        <f>(C31*1000)/SUM('Population Figures'!$Q33:$S33)</f>
        <v>3.5338636609972776</v>
      </c>
      <c r="R31" s="8">
        <f>(D31*1000)/SUM('Population Figures'!$Q33)</f>
        <v>1.2371501571452732</v>
      </c>
      <c r="S31" s="8">
        <f>(E31*1000)/SUM('Population Figures'!$Q33)</f>
        <v>537.75908046939003</v>
      </c>
      <c r="T31" s="7">
        <f>(F31*1000)/SUM('Population Figures'!$S33)</f>
        <v>1849.5465343769838</v>
      </c>
      <c r="U31" s="8">
        <f>(G31*1000)/SUM('Population Figures'!$R33)</f>
        <v>29.033409781495976</v>
      </c>
      <c r="V31" s="8">
        <f>(H31*1000)/SUM('Population Figures'!$R33)</f>
        <v>228.43320654261714</v>
      </c>
      <c r="W31" s="8">
        <f>(I31*1000)/SUM('Population Figures'!$R33)</f>
        <v>44.801941892134458</v>
      </c>
      <c r="X31" s="185">
        <f>(J31*1000)/SUM('Population Figures'!$R33)</f>
        <v>6.1131831500481661</v>
      </c>
      <c r="Y31" s="186">
        <f>(K31*1000)/SUM('Population Figures'!$R33)</f>
        <v>0</v>
      </c>
      <c r="Z31" s="186">
        <f>(L31*1000)/SUM('Population Figures'!$R33)</f>
        <v>0</v>
      </c>
      <c r="AA31" s="186">
        <f>(M31*1000)/SUM('Population Figures'!$R33)</f>
        <v>26.108737218433443</v>
      </c>
      <c r="AC31" s="18"/>
      <c r="AD31" s="121"/>
    </row>
    <row r="32" spans="1:30">
      <c r="A32" s="7" t="s">
        <v>59</v>
      </c>
      <c r="B32" s="8">
        <f t="shared" ref="B32:M32" si="29">B74*$G$39</f>
        <v>56279.135941187764</v>
      </c>
      <c r="C32" s="7">
        <f t="shared" si="29"/>
        <v>345.64537621537386</v>
      </c>
      <c r="D32" s="8">
        <f t="shared" si="29"/>
        <v>0</v>
      </c>
      <c r="E32" s="8">
        <f t="shared" si="29"/>
        <v>10503.476053888631</v>
      </c>
      <c r="F32" s="7">
        <f t="shared" si="29"/>
        <v>26741.176188271431</v>
      </c>
      <c r="G32" s="8">
        <f t="shared" si="29"/>
        <v>2730.271362912606</v>
      </c>
      <c r="H32" s="8">
        <f t="shared" si="29"/>
        <v>11032.302575858526</v>
      </c>
      <c r="I32" s="8">
        <f t="shared" si="29"/>
        <v>2371.5416191433378</v>
      </c>
      <c r="J32" s="8">
        <f t="shared" si="29"/>
        <v>394.71175454247742</v>
      </c>
      <c r="K32" s="7">
        <f t="shared" si="29"/>
        <v>0</v>
      </c>
      <c r="L32" s="7">
        <f t="shared" si="29"/>
        <v>0</v>
      </c>
      <c r="M32" s="7">
        <f t="shared" si="29"/>
        <v>2160.0110103553802</v>
      </c>
      <c r="N32" s="18"/>
      <c r="O32" s="7" t="s">
        <v>59</v>
      </c>
      <c r="P32" s="8">
        <f>(B32*1000)/SUM('Population Figures'!$Q34:$S34)</f>
        <v>637.00210459748462</v>
      </c>
      <c r="Q32" s="7">
        <f>(C32*1000)/SUM('Population Figures'!$Q34:$S34)</f>
        <v>3.9122283668972706</v>
      </c>
      <c r="R32" s="8">
        <f>(D32*1000)/SUM('Population Figures'!$Q34)</f>
        <v>0</v>
      </c>
      <c r="S32" s="8">
        <f>(E32*1000)/SUM('Population Figures'!$Q34)</f>
        <v>554.7122288824205</v>
      </c>
      <c r="T32" s="7">
        <f>(F32*1000)/SUM('Population Figures'!$S34)</f>
        <v>1805.0068301229448</v>
      </c>
      <c r="U32" s="8">
        <f>(G32*1000)/SUM('Population Figures'!$R34)</f>
        <v>50.004970016714395</v>
      </c>
      <c r="V32" s="8">
        <f>(H32*1000)/SUM('Population Figures'!$R34)</f>
        <v>202.05682373367264</v>
      </c>
      <c r="W32" s="8">
        <f>(I32*1000)/SUM('Population Figures'!$R34)</f>
        <v>43.434828189438427</v>
      </c>
      <c r="X32" s="185">
        <f>(J32*1000)/SUM('Population Figures'!$R34)</f>
        <v>7.2291530135984878</v>
      </c>
      <c r="Y32" s="186">
        <f>(K32*1000)/SUM('Population Figures'!$R34)</f>
        <v>0</v>
      </c>
      <c r="Z32" s="186">
        <f>(L32*1000)/SUM('Population Figures'!$R34)</f>
        <v>0</v>
      </c>
      <c r="AA32" s="186">
        <f>(M32*1000)/SUM('Population Figures'!$R34)</f>
        <v>39.560641215300009</v>
      </c>
      <c r="AC32" s="18"/>
      <c r="AD32" s="121"/>
    </row>
    <row r="33" spans="1:30">
      <c r="A33" s="7" t="s">
        <v>60</v>
      </c>
      <c r="B33" s="8">
        <f t="shared" ref="B33:M33" si="30">B75*$G$39</f>
        <v>79373.044673811164</v>
      </c>
      <c r="C33" s="7">
        <f t="shared" si="30"/>
        <v>2349.7343398868475</v>
      </c>
      <c r="D33" s="8">
        <f t="shared" si="30"/>
        <v>53.427834178401639</v>
      </c>
      <c r="E33" s="8">
        <f t="shared" si="30"/>
        <v>16610.604609668786</v>
      </c>
      <c r="F33" s="7">
        <f t="shared" si="30"/>
        <v>31471.175059004214</v>
      </c>
      <c r="G33" s="8">
        <f t="shared" si="30"/>
        <v>6730.8167425157817</v>
      </c>
      <c r="H33" s="8">
        <f t="shared" si="30"/>
        <v>13784.381218027622</v>
      </c>
      <c r="I33" s="8">
        <f t="shared" si="30"/>
        <v>6089.6827323749621</v>
      </c>
      <c r="J33" s="8">
        <f t="shared" si="30"/>
        <v>2181.818289611871</v>
      </c>
      <c r="K33" s="7">
        <f t="shared" si="30"/>
        <v>38.162738698858313</v>
      </c>
      <c r="L33" s="7">
        <f t="shared" si="30"/>
        <v>50.156742289928069</v>
      </c>
      <c r="M33" s="7">
        <f t="shared" si="30"/>
        <v>13.084367553894278</v>
      </c>
      <c r="N33" s="18"/>
      <c r="O33" s="7" t="s">
        <v>60</v>
      </c>
      <c r="P33" s="8">
        <f>(B33*1000)/SUM('Population Figures'!$Q35:$S35)</f>
        <v>872.80673712130158</v>
      </c>
      <c r="Q33" s="7">
        <f>(C33*1000)/SUM('Population Figures'!$Q35:$S35)</f>
        <v>25.838292719230783</v>
      </c>
      <c r="R33" s="8">
        <f>(D33*1000)/SUM('Population Figures'!$Q35)</f>
        <v>2.8399422834423875</v>
      </c>
      <c r="S33" s="8">
        <f>(E33*1000)/SUM('Population Figures'!$Q35)</f>
        <v>882.93226012165974</v>
      </c>
      <c r="T33" s="7">
        <f>(F33*1000)/SUM('Population Figures'!$S35)</f>
        <v>2150.9927591418368</v>
      </c>
      <c r="U33" s="8">
        <f>(G33*1000)/SUM('Population Figures'!$R35)</f>
        <v>117.06582618818321</v>
      </c>
      <c r="V33" s="8">
        <f>(H33*1000)/SUM('Population Figures'!$R35)</f>
        <v>239.74504692548388</v>
      </c>
      <c r="W33" s="8">
        <f>(I33*1000)/SUM('Population Figures'!$R35)</f>
        <v>105.91489377304443</v>
      </c>
      <c r="X33" s="185">
        <f>(J33*1000)/SUM('Population Figures'!$R35)</f>
        <v>37.947305718865152</v>
      </c>
      <c r="Y33" s="186">
        <f>(K33*1000)/SUM('Population Figures'!$R35)</f>
        <v>0.66374597709159433</v>
      </c>
      <c r="Z33" s="186">
        <f>(L33*1000)/SUM('Population Figures'!$R35)</f>
        <v>0.87235185560609563</v>
      </c>
      <c r="AA33" s="186">
        <f>(M33*1000)/SUM('Population Figures'!$R35)</f>
        <v>0.22757004928854666</v>
      </c>
      <c r="AC33" s="18"/>
      <c r="AD33" s="121"/>
    </row>
    <row r="34" spans="1:30">
      <c r="A34" s="7" t="s">
        <v>61</v>
      </c>
      <c r="B34" s="8">
        <f t="shared" ref="B34:M34" si="31">B76*$G$39</f>
        <v>87154.972276489789</v>
      </c>
      <c r="C34" s="7">
        <f t="shared" si="31"/>
        <v>3926.4006301311078</v>
      </c>
      <c r="D34" s="8">
        <f t="shared" si="31"/>
        <v>83.958025137488292</v>
      </c>
      <c r="E34" s="8">
        <f t="shared" si="31"/>
        <v>20020.17272142107</v>
      </c>
      <c r="F34" s="7">
        <f t="shared" si="31"/>
        <v>35237.292186600112</v>
      </c>
      <c r="G34" s="8">
        <f t="shared" si="31"/>
        <v>5259.9157566654994</v>
      </c>
      <c r="H34" s="8">
        <f t="shared" si="31"/>
        <v>13783.290854064797</v>
      </c>
      <c r="I34" s="8">
        <f t="shared" si="31"/>
        <v>4412.702957550845</v>
      </c>
      <c r="J34" s="8">
        <f t="shared" si="31"/>
        <v>1825.2692737682519</v>
      </c>
      <c r="K34" s="7">
        <f t="shared" si="31"/>
        <v>9.8132756654207078</v>
      </c>
      <c r="L34" s="7">
        <f t="shared" si="31"/>
        <v>0</v>
      </c>
      <c r="M34" s="7">
        <f t="shared" si="31"/>
        <v>2596.1565954851899</v>
      </c>
      <c r="N34" s="18"/>
      <c r="O34" s="7" t="s">
        <v>61</v>
      </c>
      <c r="P34" s="8">
        <f>(B34*1000)/SUM('Population Figures'!$Q36:$S36)</f>
        <v>514.15829317733346</v>
      </c>
      <c r="Q34" s="7">
        <f>(C34*1000)/SUM('Population Figures'!$Q36:$S36)</f>
        <v>23.163238924730742</v>
      </c>
      <c r="R34" s="8">
        <f>(D34*1000)/SUM('Population Figures'!$Q36)</f>
        <v>2.1298872406070242</v>
      </c>
      <c r="S34" s="8">
        <f>(E34*1000)/SUM('Population Figures'!$Q36)</f>
        <v>507.88129382838406</v>
      </c>
      <c r="T34" s="7">
        <f>(F34*1000)/SUM('Population Figures'!$S36)</f>
        <v>1594.6640804905694</v>
      </c>
      <c r="U34" s="8">
        <f>(G34*1000)/SUM('Population Figures'!$R36)</f>
        <v>48.705629541136545</v>
      </c>
      <c r="V34" s="8">
        <f>(H34*1000)/SUM('Population Figures'!$R36)</f>
        <v>127.63015402767557</v>
      </c>
      <c r="W34" s="8">
        <f>(I34*1000)/SUM('Population Figures'!$R36)</f>
        <v>40.86063075310522</v>
      </c>
      <c r="X34" s="185">
        <f>(J34*1000)/SUM('Population Figures'!$R36)</f>
        <v>16.901580400469022</v>
      </c>
      <c r="Y34" s="186">
        <f>(K34*1000)/SUM('Population Figures'!$R36)</f>
        <v>9.0868711830478621E-2</v>
      </c>
      <c r="Z34" s="186">
        <f>(L34*1000)/SUM('Population Figures'!$R36)</f>
        <v>0</v>
      </c>
      <c r="AA34" s="186">
        <f>(M34*1000)/SUM('Population Figures'!$R36)</f>
        <v>24.039822540929958</v>
      </c>
      <c r="AC34" s="18"/>
      <c r="AD34" s="121"/>
    </row>
    <row r="35" spans="1:30">
      <c r="A35" s="52" t="s">
        <v>5</v>
      </c>
      <c r="B35" s="53">
        <f t="shared" ref="B35:M35" si="32">B77*$G$39</f>
        <v>3716888.2850383385</v>
      </c>
      <c r="C35" s="52">
        <f t="shared" si="32"/>
        <v>36111.764084785384</v>
      </c>
      <c r="D35" s="53">
        <f t="shared" si="32"/>
        <v>2817.5004799385679</v>
      </c>
      <c r="E35" s="53">
        <f t="shared" si="32"/>
        <v>786286.5319639087</v>
      </c>
      <c r="F35" s="52">
        <f t="shared" si="32"/>
        <v>1684512.0090793085</v>
      </c>
      <c r="G35" s="53">
        <f t="shared" si="32"/>
        <v>222132.21759850034</v>
      </c>
      <c r="H35" s="53">
        <f t="shared" si="32"/>
        <v>651913.34827730292</v>
      </c>
      <c r="I35" s="53">
        <f t="shared" si="32"/>
        <v>159154.97583368153</v>
      </c>
      <c r="J35" s="53">
        <f t="shared" si="32"/>
        <v>55556.224633835103</v>
      </c>
      <c r="K35" s="52">
        <f t="shared" si="32"/>
        <v>1839.4440052849707</v>
      </c>
      <c r="L35" s="52">
        <f t="shared" si="32"/>
        <v>3609.1047169491717</v>
      </c>
      <c r="M35" s="52">
        <f t="shared" si="32"/>
        <v>112955.16436484366</v>
      </c>
      <c r="N35" s="18"/>
      <c r="O35" s="52" t="s">
        <v>5</v>
      </c>
      <c r="P35" s="53">
        <f>(B35*1000)/SUM('Population Figures'!$Q37:$S37)</f>
        <v>719.14255297249463</v>
      </c>
      <c r="Q35" s="52">
        <f>(C35*1000)/SUM('Population Figures'!$Q37:$S37)</f>
        <v>6.9868944732099036</v>
      </c>
      <c r="R35" s="53">
        <f>(D35*1000)/SUM('Population Figures'!$Q37)</f>
        <v>2.6943859047909551</v>
      </c>
      <c r="S35" s="53">
        <f>(E35*1000)/SUM('Population Figures'!$Q37)</f>
        <v>751.9286558903126</v>
      </c>
      <c r="T35" s="52">
        <f>(F35*1000)/SUM('Population Figures'!$S37)</f>
        <v>1966.6403310508738</v>
      </c>
      <c r="U35" s="53">
        <f>(G35*1000)/SUM('Population Figures'!$R37)</f>
        <v>68.008041480572402</v>
      </c>
      <c r="V35" s="53">
        <f>(H35*1000)/SUM('Population Figures'!$R37)</f>
        <v>199.58991320888421</v>
      </c>
      <c r="W35" s="53">
        <f>(I35*1000)/SUM('Population Figures'!$R37)</f>
        <v>48.726917307872704</v>
      </c>
      <c r="X35" s="445">
        <f>(J35*1000)/SUM('Population Figures'!$R37)</f>
        <v>17.009104173402733</v>
      </c>
      <c r="Y35" s="446">
        <f>(K35*1000)/SUM('Population Figures'!$R37)</f>
        <v>0.56316452230590386</v>
      </c>
      <c r="Z35" s="446">
        <f>(L35*1000)/SUM('Population Figures'!$R37)</f>
        <v>1.1049641783239725</v>
      </c>
      <c r="AA35" s="446">
        <f>(M35*1000)/SUM('Population Figures'!$R37)</f>
        <v>34.582374347218611</v>
      </c>
      <c r="AC35" s="18"/>
      <c r="AD35" s="121"/>
    </row>
    <row r="37" spans="1:30" ht="13.5" thickBot="1"/>
    <row r="38" spans="1:30">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30"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1">
        <f>Deflators!$K$2/Deflators!G2</f>
        <v>1.0903639628245232</v>
      </c>
      <c r="H39" s="565">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30">
      <c r="N40" s="233"/>
      <c r="S40" s="11"/>
      <c r="V40" s="11"/>
      <c r="W40" s="11"/>
      <c r="X40" s="149"/>
    </row>
    <row r="41" spans="1:30">
      <c r="N41" s="233"/>
      <c r="U41" s="11"/>
    </row>
    <row r="42" spans="1:30">
      <c r="N42" s="233"/>
      <c r="U42" s="11"/>
    </row>
    <row r="43" spans="1:30">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30" ht="63.75">
      <c r="A44" s="21" t="s">
        <v>26</v>
      </c>
      <c r="B44" s="10" t="s">
        <v>9</v>
      </c>
      <c r="C44" s="9" t="s">
        <v>10</v>
      </c>
      <c r="D44" s="10" t="s">
        <v>11</v>
      </c>
      <c r="E44" s="10" t="s">
        <v>12</v>
      </c>
      <c r="F44" s="9" t="s">
        <v>14</v>
      </c>
      <c r="G44" s="10" t="s">
        <v>15</v>
      </c>
      <c r="H44" s="10" t="s">
        <v>16</v>
      </c>
      <c r="I44" s="10" t="s">
        <v>17</v>
      </c>
      <c r="J44" s="186" t="s">
        <v>351</v>
      </c>
      <c r="K44" s="18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30">
      <c r="A45" s="7" t="s">
        <v>31</v>
      </c>
      <c r="B45" s="425">
        <v>149006</v>
      </c>
      <c r="C45" s="280">
        <v>674</v>
      </c>
      <c r="D45" s="425">
        <v>0</v>
      </c>
      <c r="E45" s="425">
        <v>35095</v>
      </c>
      <c r="F45" s="280">
        <v>58736</v>
      </c>
      <c r="G45" s="425">
        <v>10035</v>
      </c>
      <c r="H45" s="425">
        <v>27237</v>
      </c>
      <c r="I45" s="425">
        <v>9538</v>
      </c>
      <c r="J45" s="425">
        <v>2487</v>
      </c>
      <c r="K45" s="280">
        <v>0</v>
      </c>
      <c r="L45" s="280">
        <v>2</v>
      </c>
      <c r="M45" s="280">
        <v>5202</v>
      </c>
      <c r="N45" s="233"/>
      <c r="O45" s="7" t="s">
        <v>31</v>
      </c>
      <c r="P45" s="425">
        <f>(B45*1000)/SUM('Population Figures'!$Q5:$S5)</f>
        <v>708.20342205323198</v>
      </c>
      <c r="Q45" s="280">
        <f>(C45/SUM('Population Figures'!T5:V5))*1000</f>
        <v>3.1523315092839437</v>
      </c>
      <c r="R45" s="425">
        <f>(D45/'Population Figures'!T5)*1000</f>
        <v>0</v>
      </c>
      <c r="S45" s="425">
        <f>(E45/'Population Figures'!T5)*1000</f>
        <v>922.75129492808867</v>
      </c>
      <c r="T45" s="280">
        <f>(F45/'Population Figures'!S5)*1000</f>
        <v>1824.382668116167</v>
      </c>
      <c r="U45" s="425">
        <f>(G45/'Population Figures'!R5)*1000</f>
        <v>71.447388094237922</v>
      </c>
      <c r="V45" s="425">
        <f>(H45/'Population Figures'!R5)*1000</f>
        <v>193.92252212483891</v>
      </c>
      <c r="W45" s="425">
        <f>(I45/'Population Figures'!R5)*1000</f>
        <v>67.908837831872589</v>
      </c>
      <c r="X45" s="500">
        <f>(J45/'Population Figures'!R5)*1000</f>
        <v>17.706990950709489</v>
      </c>
      <c r="Y45" s="186">
        <f>(K45/'Population Figures'!R5)*1000</f>
        <v>0</v>
      </c>
      <c r="Z45" s="186">
        <f>(L45/'Population Figures'!R5)*1000</f>
        <v>1.4239638882757933E-2</v>
      </c>
      <c r="AA45" s="501">
        <f>(M45/'Population Figures'!R5)*1000</f>
        <v>37.037300734053382</v>
      </c>
    </row>
    <row r="46" spans="1:30">
      <c r="A46" s="7" t="s">
        <v>32</v>
      </c>
      <c r="B46" s="425">
        <v>145034</v>
      </c>
      <c r="C46" s="280">
        <v>1195</v>
      </c>
      <c r="D46" s="425">
        <v>108</v>
      </c>
      <c r="E46" s="425">
        <v>26078</v>
      </c>
      <c r="F46" s="280">
        <v>60846</v>
      </c>
      <c r="G46" s="425">
        <v>7399</v>
      </c>
      <c r="H46" s="425">
        <v>38779</v>
      </c>
      <c r="I46" s="425">
        <v>5141</v>
      </c>
      <c r="J46" s="425">
        <v>2459</v>
      </c>
      <c r="K46" s="280">
        <v>0</v>
      </c>
      <c r="L46" s="280">
        <v>0</v>
      </c>
      <c r="M46" s="280">
        <v>3029</v>
      </c>
      <c r="N46" s="233"/>
      <c r="O46" s="7" t="s">
        <v>32</v>
      </c>
      <c r="P46" s="425">
        <f>(B46*1000)/SUM('Population Figures'!$Q6:$S6)</f>
        <v>600.65435268781573</v>
      </c>
      <c r="Q46" s="280">
        <f>(C46/SUM('Population Figures'!T6:V6))*1000</f>
        <v>4.9073960001642645</v>
      </c>
      <c r="R46" s="425">
        <f>(D46/'Population Figures'!T6)*1000</f>
        <v>2.0446800454373344</v>
      </c>
      <c r="S46" s="425">
        <f>(E46/'Population Figures'!T6)*1000</f>
        <v>493.71450208254447</v>
      </c>
      <c r="T46" s="280">
        <f>(F46/'Population Figures'!S6)*1000</f>
        <v>1589.8306856187291</v>
      </c>
      <c r="U46" s="425">
        <f>(G46/'Population Figures'!R6)*1000</f>
        <v>49.183052154375893</v>
      </c>
      <c r="V46" s="425">
        <f>(H46/'Population Figures'!R6)*1000</f>
        <v>257.77396668394954</v>
      </c>
      <c r="W46" s="425">
        <f>(I46/'Population Figures'!R6)*1000</f>
        <v>34.173546577327542</v>
      </c>
      <c r="X46" s="500">
        <f>(J46/'Population Figures'!R6)*1000</f>
        <v>16.345604169159387</v>
      </c>
      <c r="Y46" s="186">
        <f>(K46/'Population Figures'!R6)*1000</f>
        <v>0</v>
      </c>
      <c r="Z46" s="186">
        <f>(L46/'Population Figures'!R6)*1000</f>
        <v>0</v>
      </c>
      <c r="AA46" s="501">
        <f>(M46/'Population Figures'!R6)*1000</f>
        <v>20.134540475145908</v>
      </c>
    </row>
    <row r="47" spans="1:30">
      <c r="A47" s="7" t="s">
        <v>33</v>
      </c>
      <c r="B47" s="425">
        <v>68205</v>
      </c>
      <c r="C47" s="280">
        <v>312</v>
      </c>
      <c r="D47" s="425">
        <v>149</v>
      </c>
      <c r="E47" s="425">
        <v>14143</v>
      </c>
      <c r="F47" s="280">
        <v>36230</v>
      </c>
      <c r="G47" s="425">
        <v>2948</v>
      </c>
      <c r="H47" s="425">
        <v>10055</v>
      </c>
      <c r="I47" s="425">
        <v>2437</v>
      </c>
      <c r="J47" s="425">
        <v>447</v>
      </c>
      <c r="K47" s="280">
        <v>0</v>
      </c>
      <c r="L47" s="280">
        <v>0</v>
      </c>
      <c r="M47" s="280">
        <v>1484</v>
      </c>
      <c r="N47" s="233"/>
      <c r="O47" s="7" t="s">
        <v>33</v>
      </c>
      <c r="P47" s="425">
        <f>(B47*1000)/SUM('Population Figures'!$Q7:$S7)</f>
        <v>618.30296437313029</v>
      </c>
      <c r="Q47" s="280">
        <f>(C47/SUM('Population Figures'!T7:V7))*1000</f>
        <v>2.8299319727891157</v>
      </c>
      <c r="R47" s="425">
        <f>(D47/'Population Figures'!T7)*1000</f>
        <v>6.6476309449451234</v>
      </c>
      <c r="S47" s="425">
        <f>(E47/'Population Figures'!T7)*1000</f>
        <v>630.98956009636834</v>
      </c>
      <c r="T47" s="280">
        <f>(F47/'Population Figures'!S7)*1000</f>
        <v>1681.9870009285053</v>
      </c>
      <c r="U47" s="425">
        <f>(G47/'Population Figures'!R7)*1000</f>
        <v>44.601791333817474</v>
      </c>
      <c r="V47" s="425">
        <f>(H47/'Population Figures'!R7)*1000</f>
        <v>152.12720890825466</v>
      </c>
      <c r="W47" s="425">
        <f>(I47/'Population Figures'!R7)*1000</f>
        <v>36.87061244250787</v>
      </c>
      <c r="X47" s="500">
        <f>(J47/'Population Figures'!R7)*1000</f>
        <v>6.7628903413217136</v>
      </c>
      <c r="Y47" s="186">
        <f>(K47/'Population Figures'!R7)*1000</f>
        <v>0</v>
      </c>
      <c r="Z47" s="186">
        <f>(L47/'Population Figures'!R7)*1000</f>
        <v>0</v>
      </c>
      <c r="AA47" s="501">
        <f>(M47/'Population Figures'!R7)*1000</f>
        <v>22.452190752844345</v>
      </c>
    </row>
    <row r="48" spans="1:30">
      <c r="A48" s="7" t="s">
        <v>34</v>
      </c>
      <c r="B48" s="425">
        <v>53043</v>
      </c>
      <c r="C48" s="280">
        <v>1531</v>
      </c>
      <c r="D48" s="425">
        <v>58</v>
      </c>
      <c r="E48" s="425">
        <v>10192</v>
      </c>
      <c r="F48" s="280">
        <v>27629</v>
      </c>
      <c r="G48" s="425">
        <v>950</v>
      </c>
      <c r="H48" s="425">
        <v>10347</v>
      </c>
      <c r="I48" s="425">
        <v>2027</v>
      </c>
      <c r="J48" s="425">
        <v>318</v>
      </c>
      <c r="K48" s="280">
        <v>0</v>
      </c>
      <c r="L48" s="280">
        <v>0</v>
      </c>
      <c r="M48" s="280">
        <v>-9</v>
      </c>
      <c r="N48" s="233"/>
      <c r="O48" s="7" t="s">
        <v>34</v>
      </c>
      <c r="P48" s="425">
        <f>(B48*1000)/SUM('Population Figures'!$Q8:$S8)</f>
        <v>586.11049723756901</v>
      </c>
      <c r="Q48" s="280">
        <f>(C48/SUM('Population Figures'!T8:V8))*1000</f>
        <v>17.003553976010661</v>
      </c>
      <c r="R48" s="425">
        <f>(D48/'Population Figures'!T8)*1000</f>
        <v>3.4321557488608794</v>
      </c>
      <c r="S48" s="425">
        <f>(E48/'Population Figures'!T8)*1000</f>
        <v>603.11261021362202</v>
      </c>
      <c r="T48" s="280">
        <f>(F48/'Population Figures'!S8)*1000</f>
        <v>1472.9967478807912</v>
      </c>
      <c r="U48" s="425">
        <f>(G48/'Population Figures'!R8)*1000</f>
        <v>17.4356715486547</v>
      </c>
      <c r="V48" s="425">
        <f>(H48/'Population Figures'!R8)*1000</f>
        <v>189.90199317255809</v>
      </c>
      <c r="W48" s="425">
        <f>(I48/'Population Figures'!R8)*1000</f>
        <v>37.202217083287451</v>
      </c>
      <c r="X48" s="500">
        <f>(J48/'Population Figures'!R8)*1000</f>
        <v>5.8363616341812579</v>
      </c>
      <c r="Y48" s="186">
        <f>(K48/'Population Figures'!R8)*1000</f>
        <v>0</v>
      </c>
      <c r="Z48" s="186">
        <f>(L48/'Population Figures'!R8)*1000</f>
        <v>0</v>
      </c>
      <c r="AA48" s="501">
        <f>(M48/'Population Figures'!R8)*1000</f>
        <v>-0.16518004625041294</v>
      </c>
    </row>
    <row r="49" spans="1:27">
      <c r="A49" s="7" t="s">
        <v>35</v>
      </c>
      <c r="B49" s="425">
        <v>33655</v>
      </c>
      <c r="C49" s="280">
        <v>114</v>
      </c>
      <c r="D49" s="425">
        <v>38</v>
      </c>
      <c r="E49" s="425">
        <v>8768</v>
      </c>
      <c r="F49" s="280">
        <v>14006</v>
      </c>
      <c r="G49" s="425">
        <v>2942</v>
      </c>
      <c r="H49" s="425">
        <v>4090</v>
      </c>
      <c r="I49" s="425">
        <v>2056</v>
      </c>
      <c r="J49" s="425">
        <v>268</v>
      </c>
      <c r="K49" s="280">
        <v>0</v>
      </c>
      <c r="L49" s="280">
        <v>0</v>
      </c>
      <c r="M49" s="280">
        <v>1373</v>
      </c>
      <c r="N49" s="233"/>
      <c r="O49" s="7" t="s">
        <v>35</v>
      </c>
      <c r="P49" s="425">
        <f>(B49*1000)/SUM('Population Figures'!$Q9:$S9)</f>
        <v>666.69968304278927</v>
      </c>
      <c r="Q49" s="280">
        <f>(C49/SUM('Population Figures'!T9:V9))*1000</f>
        <v>2.255639097744361</v>
      </c>
      <c r="R49" s="425">
        <f>(D49/'Population Figures'!T9)*1000</f>
        <v>3.4763516604153324</v>
      </c>
      <c r="S49" s="425">
        <f>(E49/'Population Figures'!T9)*1000</f>
        <v>802.12240417162195</v>
      </c>
      <c r="T49" s="280">
        <f>(F49/'Population Figures'!S9)*1000</f>
        <v>1814.0137287916075</v>
      </c>
      <c r="U49" s="425">
        <f>(G49/'Population Figures'!R9)*1000</f>
        <v>92.661417322834637</v>
      </c>
      <c r="V49" s="425">
        <f>(H49/'Population Figures'!R9)*1000</f>
        <v>128.81889763779529</v>
      </c>
      <c r="W49" s="425">
        <f>(I49/'Population Figures'!R9)*1000</f>
        <v>64.755905511811022</v>
      </c>
      <c r="X49" s="500">
        <f>(J49/'Population Figures'!R9)*1000</f>
        <v>8.440944881889763</v>
      </c>
      <c r="Y49" s="186">
        <f>(K49/'Population Figures'!R9)*1000</f>
        <v>0</v>
      </c>
      <c r="Z49" s="186">
        <f>(L49/'Population Figures'!R9)*1000</f>
        <v>0</v>
      </c>
      <c r="AA49" s="501">
        <f>(M49/'Population Figures'!R9)*1000</f>
        <v>43.244094488188978</v>
      </c>
    </row>
    <row r="50" spans="1:27">
      <c r="A50" s="7" t="s">
        <v>36</v>
      </c>
      <c r="B50" s="425">
        <v>97501</v>
      </c>
      <c r="C50" s="280">
        <v>2054</v>
      </c>
      <c r="D50" s="425">
        <v>107</v>
      </c>
      <c r="E50" s="425">
        <v>18531</v>
      </c>
      <c r="F50" s="280">
        <v>47515</v>
      </c>
      <c r="G50" s="425">
        <v>7040</v>
      </c>
      <c r="H50" s="425">
        <v>14469</v>
      </c>
      <c r="I50" s="425">
        <v>3691</v>
      </c>
      <c r="J50" s="425">
        <v>487</v>
      </c>
      <c r="K50" s="280">
        <v>1</v>
      </c>
      <c r="L50" s="280">
        <v>0</v>
      </c>
      <c r="M50" s="280">
        <v>3606</v>
      </c>
      <c r="N50" s="233"/>
      <c r="O50" s="7" t="s">
        <v>36</v>
      </c>
      <c r="P50" s="425">
        <f>(B50*1000)/SUM('Population Figures'!$Q10:$S10)</f>
        <v>656.21887198815455</v>
      </c>
      <c r="Q50" s="280">
        <f>(C50/SUM('Population Figures'!T10:V10))*1000</f>
        <v>13.83071847013669</v>
      </c>
      <c r="R50" s="425">
        <f>(D50/'Population Figures'!T10)*1000</f>
        <v>3.7467609776594997</v>
      </c>
      <c r="S50" s="425">
        <f>(E50/'Population Figures'!T10)*1000</f>
        <v>648.8899782897962</v>
      </c>
      <c r="T50" s="280">
        <f>(F50/'Population Figures'!S10)*1000</f>
        <v>1496.0171279241838</v>
      </c>
      <c r="U50" s="425">
        <f>(G50/'Population Figures'!R10)*1000</f>
        <v>80.090101364034538</v>
      </c>
      <c r="V50" s="425">
        <f>(H50/'Population Figures'!R10)*1000</f>
        <v>164.6056358858261</v>
      </c>
      <c r="W50" s="425">
        <f>(I50/'Population Figures'!R10)*1000</f>
        <v>41.990421041853899</v>
      </c>
      <c r="X50" s="500">
        <f>(J50/'Population Figures'!R10)*1000</f>
        <v>5.5403237733359116</v>
      </c>
      <c r="Y50" s="186">
        <f>(K50/'Population Figures'!R10)*1000</f>
        <v>1.1376434852845816E-2</v>
      </c>
      <c r="Z50" s="186">
        <f>(L50/'Population Figures'!R10)*1000</f>
        <v>0</v>
      </c>
      <c r="AA50" s="501">
        <f>(M50/'Population Figures'!R10)*1000</f>
        <v>41.023424079362016</v>
      </c>
    </row>
    <row r="51" spans="1:27">
      <c r="A51" s="7" t="s">
        <v>37</v>
      </c>
      <c r="B51" s="425">
        <v>105227</v>
      </c>
      <c r="C51" s="280">
        <v>1039</v>
      </c>
      <c r="D51" s="425">
        <v>198</v>
      </c>
      <c r="E51" s="425">
        <v>26766</v>
      </c>
      <c r="F51" s="280">
        <v>44438</v>
      </c>
      <c r="G51" s="425">
        <v>7479</v>
      </c>
      <c r="H51" s="425">
        <v>14994</v>
      </c>
      <c r="I51" s="425">
        <v>3658</v>
      </c>
      <c r="J51" s="425">
        <v>815</v>
      </c>
      <c r="K51" s="280">
        <v>183</v>
      </c>
      <c r="L51" s="280">
        <v>0</v>
      </c>
      <c r="M51" s="280">
        <v>5657</v>
      </c>
      <c r="N51" s="233"/>
      <c r="O51" s="7" t="s">
        <v>37</v>
      </c>
      <c r="P51" s="425">
        <f>(B51*1000)/SUM('Population Figures'!$Q11:$S11)</f>
        <v>738.59058047308201</v>
      </c>
      <c r="Q51" s="280">
        <f>(C51/SUM('Population Figures'!T11:V11))*1000</f>
        <v>7.2459725224911082</v>
      </c>
      <c r="R51" s="425">
        <f>(D51/'Population Figures'!T11)*1000</f>
        <v>7.2647220693450745</v>
      </c>
      <c r="S51" s="425">
        <f>(E51/'Population Figures'!T11)*1000</f>
        <v>982.05833791964778</v>
      </c>
      <c r="T51" s="280">
        <f>(F51/'Population Figures'!S11)*1000</f>
        <v>1732.2730284956924</v>
      </c>
      <c r="U51" s="425">
        <f>(G51/'Population Figures'!R11)*1000</f>
        <v>83.480299140529084</v>
      </c>
      <c r="V51" s="425">
        <f>(H51/'Population Figures'!R11)*1000</f>
        <v>167.36242884250473</v>
      </c>
      <c r="W51" s="425">
        <f>(I51/'Population Figures'!R11)*1000</f>
        <v>40.830449826989621</v>
      </c>
      <c r="X51" s="500">
        <f>(J51/'Population Figures'!R11)*1000</f>
        <v>9.0969974327491911</v>
      </c>
      <c r="Y51" s="186">
        <f>(K51/'Population Figures'!R11)*1000</f>
        <v>2.0426386873534996</v>
      </c>
      <c r="Z51" s="186">
        <f>(L51/'Population Figures'!R11)*1000</f>
        <v>0</v>
      </c>
      <c r="AA51" s="501">
        <f>(M51/'Population Figures'!R11)*1000</f>
        <v>63.143207947315553</v>
      </c>
    </row>
    <row r="52" spans="1:27">
      <c r="A52" s="7" t="s">
        <v>38</v>
      </c>
      <c r="B52" s="425">
        <v>76034</v>
      </c>
      <c r="C52" s="280">
        <v>512</v>
      </c>
      <c r="D52" s="425">
        <v>95</v>
      </c>
      <c r="E52" s="425">
        <v>16402</v>
      </c>
      <c r="F52" s="280">
        <v>38250</v>
      </c>
      <c r="G52" s="425">
        <v>3890</v>
      </c>
      <c r="H52" s="425">
        <v>11832</v>
      </c>
      <c r="I52" s="425">
        <v>2580</v>
      </c>
      <c r="J52" s="425">
        <v>154</v>
      </c>
      <c r="K52" s="280">
        <v>0</v>
      </c>
      <c r="L52" s="280">
        <v>0</v>
      </c>
      <c r="M52" s="280">
        <v>2319</v>
      </c>
      <c r="N52" s="233"/>
      <c r="O52" s="7" t="s">
        <v>38</v>
      </c>
      <c r="P52" s="425">
        <f>(B52*1000)/SUM('Population Figures'!$Q12:$S12)</f>
        <v>634.03935957304873</v>
      </c>
      <c r="Q52" s="280">
        <f>(C52/SUM('Population Figures'!T12:V12))*1000</f>
        <v>4.2592130438399467</v>
      </c>
      <c r="R52" s="425">
        <f>(D52/'Population Figures'!T12)*1000</f>
        <v>3.8589649849703469</v>
      </c>
      <c r="S52" s="425">
        <f>(E52/'Population Figures'!T12)*1000</f>
        <v>666.26045982614346</v>
      </c>
      <c r="T52" s="280">
        <f>(F52/'Population Figures'!S12)*1000</f>
        <v>1872.3383425522543</v>
      </c>
      <c r="U52" s="425">
        <f>(G52/'Population Figures'!R12)*1000</f>
        <v>52.095888576402842</v>
      </c>
      <c r="V52" s="425">
        <f>(H52/'Population Figures'!R12)*1000</f>
        <v>158.45721173161911</v>
      </c>
      <c r="W52" s="425">
        <f>(I52/'Population Figures'!R12)*1000</f>
        <v>34.552028927280027</v>
      </c>
      <c r="X52" s="500">
        <f>(J52/'Population Figures'!R12)*1000</f>
        <v>2.0624079282174903</v>
      </c>
      <c r="Y52" s="186">
        <f>(K52/'Population Figures'!R12)*1000</f>
        <v>0</v>
      </c>
      <c r="Z52" s="186">
        <f>(L52/'Population Figures'!R12)*1000</f>
        <v>0</v>
      </c>
      <c r="AA52" s="501">
        <f>(M52/'Population Figures'!R12)*1000</f>
        <v>31.05664925672961</v>
      </c>
    </row>
    <row r="53" spans="1:27">
      <c r="A53" s="7" t="s">
        <v>39</v>
      </c>
      <c r="B53" s="425">
        <v>51617</v>
      </c>
      <c r="C53" s="280">
        <v>3736</v>
      </c>
      <c r="D53" s="425">
        <v>6</v>
      </c>
      <c r="E53" s="425">
        <v>8713</v>
      </c>
      <c r="F53" s="280">
        <v>22206</v>
      </c>
      <c r="G53" s="425">
        <v>2852</v>
      </c>
      <c r="H53" s="425">
        <v>10166</v>
      </c>
      <c r="I53" s="425">
        <v>3160</v>
      </c>
      <c r="J53" s="425">
        <v>620</v>
      </c>
      <c r="K53" s="280">
        <v>0</v>
      </c>
      <c r="L53" s="280">
        <v>0</v>
      </c>
      <c r="M53" s="280">
        <v>158</v>
      </c>
      <c r="N53" s="233"/>
      <c r="O53" s="7" t="s">
        <v>39</v>
      </c>
      <c r="P53" s="425">
        <f>(B53*1000)/SUM('Population Figures'!$Q13:$S13)</f>
        <v>492.90488922841865</v>
      </c>
      <c r="Q53" s="280">
        <f>(C53/SUM('Population Figures'!T13:V13))*1000</f>
        <v>35.689721054642725</v>
      </c>
      <c r="R53" s="425">
        <f>(D53/'Population Figures'!T13)*1000</f>
        <v>0.27467496795458707</v>
      </c>
      <c r="S53" s="425">
        <f>(E53/'Population Figures'!T13)*1000</f>
        <v>398.87383263138622</v>
      </c>
      <c r="T53" s="280">
        <f>(F53/'Population Figures'!S13)*1000</f>
        <v>1167.6306656851402</v>
      </c>
      <c r="U53" s="425">
        <f>(G53/'Population Figures'!R13)*1000</f>
        <v>44.950903904045894</v>
      </c>
      <c r="V53" s="425">
        <f>(H53/'Population Figures'!R13)*1000</f>
        <v>160.2282219805507</v>
      </c>
      <c r="W53" s="425">
        <f>(I53/'Population Figures'!R13)*1000</f>
        <v>49.805349346698819</v>
      </c>
      <c r="X53" s="500">
        <f>(J53/'Population Figures'!R13)*1000</f>
        <v>9.7719356313143262</v>
      </c>
      <c r="Y53" s="186">
        <f>(K53/'Population Figures'!R13)*1000</f>
        <v>0</v>
      </c>
      <c r="Z53" s="186">
        <f>(L53/'Population Figures'!R13)*1000</f>
        <v>0</v>
      </c>
      <c r="AA53" s="501">
        <f>(M53/'Population Figures'!R13)*1000</f>
        <v>2.4902674673349412</v>
      </c>
    </row>
    <row r="54" spans="1:27">
      <c r="A54" s="7" t="s">
        <v>40</v>
      </c>
      <c r="B54" s="425">
        <v>54266</v>
      </c>
      <c r="C54" s="280">
        <v>1074</v>
      </c>
      <c r="D54" s="425">
        <v>34</v>
      </c>
      <c r="E54" s="425">
        <v>10549</v>
      </c>
      <c r="F54" s="280">
        <v>27049</v>
      </c>
      <c r="G54" s="425">
        <v>3790</v>
      </c>
      <c r="H54" s="425">
        <v>8326</v>
      </c>
      <c r="I54" s="425">
        <v>1518</v>
      </c>
      <c r="J54" s="425">
        <v>983</v>
      </c>
      <c r="K54" s="280">
        <v>0</v>
      </c>
      <c r="L54" s="280">
        <v>0</v>
      </c>
      <c r="M54" s="280">
        <v>943</v>
      </c>
      <c r="N54" s="233"/>
      <c r="O54" s="7" t="s">
        <v>40</v>
      </c>
      <c r="P54" s="425">
        <f>(B54*1000)/SUM('Population Figures'!$Q14:$S14)</f>
        <v>564.68262226847037</v>
      </c>
      <c r="Q54" s="280">
        <f>(C54/SUM('Population Figures'!T14:V14))*1000</f>
        <v>11.091603841784572</v>
      </c>
      <c r="R54" s="425">
        <f>(D54/'Population Figures'!T14)*1000</f>
        <v>1.5821312238250349</v>
      </c>
      <c r="S54" s="425">
        <f>(E54/'Population Figures'!T14)*1000</f>
        <v>490.87947882736154</v>
      </c>
      <c r="T54" s="280">
        <f>(F54/'Population Figures'!S14)*1000</f>
        <v>1600.1538097491718</v>
      </c>
      <c r="U54" s="425">
        <f>(G54/'Population Figures'!R14)*1000</f>
        <v>65.620887873121404</v>
      </c>
      <c r="V54" s="425">
        <f>(H54/'Population Figures'!R14)*1000</f>
        <v>144.15818269963293</v>
      </c>
      <c r="W54" s="425">
        <f>(I54/'Population Figures'!R14)*1000</f>
        <v>26.28298358612092</v>
      </c>
      <c r="X54" s="500">
        <f>(J54/'Population Figures'!R14)*1000</f>
        <v>17.019876722764732</v>
      </c>
      <c r="Y54" s="186">
        <f>(K54/'Population Figures'!R14)*1000</f>
        <v>0</v>
      </c>
      <c r="Z54" s="186">
        <f>(L54/'Population Figures'!R14)*1000</f>
        <v>0</v>
      </c>
      <c r="AA54" s="501">
        <f>(M54/'Population Figures'!R14)*1000</f>
        <v>16.327307985317542</v>
      </c>
    </row>
    <row r="55" spans="1:27">
      <c r="A55" s="7" t="s">
        <v>41</v>
      </c>
      <c r="B55" s="425">
        <v>45078</v>
      </c>
      <c r="C55" s="280">
        <v>1347</v>
      </c>
      <c r="D55" s="425">
        <v>0</v>
      </c>
      <c r="E55" s="425">
        <v>6188</v>
      </c>
      <c r="F55" s="280">
        <v>21551</v>
      </c>
      <c r="G55" s="425">
        <v>2682</v>
      </c>
      <c r="H55" s="425">
        <v>9829</v>
      </c>
      <c r="I55" s="425">
        <v>1453</v>
      </c>
      <c r="J55" s="425">
        <v>482</v>
      </c>
      <c r="K55" s="280">
        <v>0</v>
      </c>
      <c r="L55" s="280">
        <v>4</v>
      </c>
      <c r="M55" s="280">
        <v>1542</v>
      </c>
      <c r="N55" s="233"/>
      <c r="O55" s="7" t="s">
        <v>41</v>
      </c>
      <c r="P55" s="425">
        <f>(B55*1000)/SUM('Population Figures'!$Q15:$S15)</f>
        <v>505.24546065904508</v>
      </c>
      <c r="Q55" s="280">
        <f>(C55/SUM('Population Figures'!T15:V15))*1000</f>
        <v>15.094128193635141</v>
      </c>
      <c r="R55" s="425">
        <f>(D55/'Population Figures'!T15)*1000</f>
        <v>0</v>
      </c>
      <c r="S55" s="425">
        <f>(E55/'Population Figures'!T15)*1000</f>
        <v>304.88766259361449</v>
      </c>
      <c r="T55" s="280">
        <f>(F55/'Population Figures'!S15)*1000</f>
        <v>1382.9814541487519</v>
      </c>
      <c r="U55" s="425">
        <f>(G55/'Population Figures'!R15)*1000</f>
        <v>50.369980843631446</v>
      </c>
      <c r="V55" s="425">
        <f>(H55/'Population Figures'!R15)*1000</f>
        <v>184.59602599256283</v>
      </c>
      <c r="W55" s="425">
        <f>(I55/'Population Figures'!R15)*1000</f>
        <v>27.28843481200466</v>
      </c>
      <c r="X55" s="500">
        <f>(J55/'Population Figures'!R15)*1000</f>
        <v>9.0523231792059491</v>
      </c>
      <c r="Y55" s="186">
        <f>(K55/'Population Figures'!R15)*1000</f>
        <v>0</v>
      </c>
      <c r="Z55" s="186">
        <f>(L55/'Population Figures'!R15)*1000</f>
        <v>7.5123013935319088E-2</v>
      </c>
      <c r="AA55" s="501">
        <f>(M55/'Population Figures'!R15)*1000</f>
        <v>28.959921872065507</v>
      </c>
    </row>
    <row r="56" spans="1:27">
      <c r="A56" s="7" t="s">
        <v>140</v>
      </c>
      <c r="B56" s="425">
        <v>305400</v>
      </c>
      <c r="C56" s="280">
        <v>1239</v>
      </c>
      <c r="D56" s="425">
        <v>209</v>
      </c>
      <c r="E56" s="425">
        <v>76303</v>
      </c>
      <c r="F56" s="280">
        <v>125474</v>
      </c>
      <c r="G56" s="425">
        <v>20840</v>
      </c>
      <c r="H56" s="425">
        <v>47431</v>
      </c>
      <c r="I56" s="425">
        <v>12023</v>
      </c>
      <c r="J56" s="425">
        <v>3832</v>
      </c>
      <c r="K56" s="280">
        <v>1269</v>
      </c>
      <c r="L56" s="280">
        <v>419</v>
      </c>
      <c r="M56" s="280">
        <v>16361</v>
      </c>
      <c r="N56" s="233"/>
      <c r="O56" s="7" t="s">
        <v>140</v>
      </c>
      <c r="P56" s="425">
        <f>(B56*1000)/SUM('Population Figures'!$Q16:$S16)</f>
        <v>647.51404643273611</v>
      </c>
      <c r="Q56" s="280">
        <f>(C56/SUM('Population Figures'!T16:V16))*1000</f>
        <v>2.5938952392915464</v>
      </c>
      <c r="R56" s="425">
        <f>(D56/'Population Figures'!T16)*1000</f>
        <v>2.568798318604737</v>
      </c>
      <c r="S56" s="425">
        <f>(E56/'Population Figures'!T16)*1000</f>
        <v>937.83262250955613</v>
      </c>
      <c r="T56" s="280">
        <f>(F56/'Population Figures'!S16)*1000</f>
        <v>1828.8004664043142</v>
      </c>
      <c r="U56" s="425">
        <f>(G56/'Population Figures'!R16)*1000</f>
        <v>64.621557677220906</v>
      </c>
      <c r="V56" s="425">
        <f>(H56/'Population Figures'!R16)*1000</f>
        <v>147.07606056565569</v>
      </c>
      <c r="W56" s="425">
        <f>(I56/'Population Figures'!R16)*1000</f>
        <v>37.281429364358296</v>
      </c>
      <c r="X56" s="500">
        <f>(J56/'Population Figures'!R16)*1000</f>
        <v>11.882428455811445</v>
      </c>
      <c r="Y56" s="186">
        <f>(K56/'Population Figures'!R16)*1000</f>
        <v>3.9349691311129233</v>
      </c>
      <c r="Z56" s="186">
        <f>(L56/'Population Figures'!R16)*1000</f>
        <v>1.2992530070420132</v>
      </c>
      <c r="AA56" s="501">
        <f>(M56/'Population Figures'!R16)*1000</f>
        <v>50.732884124616653</v>
      </c>
    </row>
    <row r="57" spans="1:27">
      <c r="A57" s="7" t="s">
        <v>42</v>
      </c>
      <c r="B57" s="425">
        <v>25474</v>
      </c>
      <c r="C57" s="280">
        <v>254</v>
      </c>
      <c r="D57" s="425">
        <v>36</v>
      </c>
      <c r="E57" s="425">
        <v>3059</v>
      </c>
      <c r="F57" s="280">
        <v>16048</v>
      </c>
      <c r="G57" s="425">
        <v>1143</v>
      </c>
      <c r="H57" s="425">
        <v>3657</v>
      </c>
      <c r="I57" s="425">
        <v>870</v>
      </c>
      <c r="J57" s="425">
        <v>120</v>
      </c>
      <c r="K57" s="280">
        <v>0</v>
      </c>
      <c r="L57" s="280">
        <v>0</v>
      </c>
      <c r="M57" s="280">
        <v>287</v>
      </c>
      <c r="N57" s="233"/>
      <c r="O57" s="7" t="s">
        <v>42</v>
      </c>
      <c r="P57" s="425">
        <f>(B57*1000)/SUM('Population Figures'!$Q17:$S17)</f>
        <v>972.29007633587787</v>
      </c>
      <c r="Q57" s="280">
        <f>(C57/SUM('Population Figures'!T17:V17))*1000</f>
        <v>9.7020626432391133</v>
      </c>
      <c r="R57" s="425">
        <f>(D57/'Population Figures'!T17)*1000</f>
        <v>6.974041069352964</v>
      </c>
      <c r="S57" s="425">
        <f>(E57/'Population Figures'!T17)*1000</f>
        <v>592.59976753196429</v>
      </c>
      <c r="T57" s="280">
        <f>(F57/'Population Figures'!S17)*1000</f>
        <v>2900.9399855386841</v>
      </c>
      <c r="U57" s="425">
        <f>(G57/'Population Figures'!R17)*1000</f>
        <v>73.913605794102423</v>
      </c>
      <c r="V57" s="425">
        <f>(H57/'Population Figures'!R17)*1000</f>
        <v>236.48473874806001</v>
      </c>
      <c r="W57" s="425">
        <f>(I57/'Population Figures'!R17)*1000</f>
        <v>56.259699948266942</v>
      </c>
      <c r="X57" s="500">
        <f>(J57/'Population Figures'!R17)*1000</f>
        <v>7.759958613554061</v>
      </c>
      <c r="Y57" s="186">
        <f>(K57/'Population Figures'!R17)*1000</f>
        <v>0</v>
      </c>
      <c r="Z57" s="186">
        <f>(L57/'Population Figures'!R17)*1000</f>
        <v>0</v>
      </c>
      <c r="AA57" s="501">
        <f>(M57/'Population Figures'!R17)*1000</f>
        <v>18.559234350750128</v>
      </c>
    </row>
    <row r="58" spans="1:27">
      <c r="A58" s="7" t="s">
        <v>43</v>
      </c>
      <c r="B58" s="425">
        <v>93527</v>
      </c>
      <c r="C58" s="280">
        <v>377</v>
      </c>
      <c r="D58" s="425">
        <v>50</v>
      </c>
      <c r="E58" s="425">
        <v>21961</v>
      </c>
      <c r="F58" s="280">
        <v>43364</v>
      </c>
      <c r="G58" s="425">
        <v>6711</v>
      </c>
      <c r="H58" s="425">
        <v>13814</v>
      </c>
      <c r="I58" s="425">
        <v>3982</v>
      </c>
      <c r="J58" s="425">
        <v>317</v>
      </c>
      <c r="K58" s="280">
        <v>1</v>
      </c>
      <c r="L58" s="280">
        <v>0</v>
      </c>
      <c r="M58" s="280">
        <v>2950</v>
      </c>
      <c r="N58" s="233"/>
      <c r="O58" s="7" t="s">
        <v>43</v>
      </c>
      <c r="P58" s="425">
        <f>(B58*1000)/SUM('Population Figures'!$Q18:$S18)</f>
        <v>617.05482615293261</v>
      </c>
      <c r="Q58" s="280">
        <f>(C58/SUM('Population Figures'!T18:V18))*1000</f>
        <v>2.4724554039874085</v>
      </c>
      <c r="R58" s="425">
        <f>(D58/'Population Figures'!T18)*1000</f>
        <v>1.5587006671238854</v>
      </c>
      <c r="S58" s="425">
        <f>(E58/'Population Figures'!T18)*1000</f>
        <v>684.61250701415304</v>
      </c>
      <c r="T58" s="280">
        <f>(F58/'Population Figures'!S18)*1000</f>
        <v>1787.3217376968098</v>
      </c>
      <c r="U58" s="425">
        <f>(G58/'Population Figures'!R18)*1000</f>
        <v>70.590091511517841</v>
      </c>
      <c r="V58" s="425">
        <f>(H58/'Population Figures'!R18)*1000</f>
        <v>145.30346060797308</v>
      </c>
      <c r="W58" s="425">
        <f>(I58/'Population Figures'!R18)*1000</f>
        <v>41.88492689597139</v>
      </c>
      <c r="X58" s="500">
        <f>(J58/'Population Figures'!R18)*1000</f>
        <v>3.3343851898601029</v>
      </c>
      <c r="Y58" s="186">
        <f>(K58/'Population Figures'!R18)*1000</f>
        <v>1.0518565267697486E-2</v>
      </c>
      <c r="Z58" s="186">
        <f>(L58/'Population Figures'!R18)*1000</f>
        <v>0</v>
      </c>
      <c r="AA58" s="501">
        <f>(M58/'Population Figures'!R18)*1000</f>
        <v>31.029767539707585</v>
      </c>
    </row>
    <row r="59" spans="1:27">
      <c r="A59" s="7" t="s">
        <v>44</v>
      </c>
      <c r="B59" s="425">
        <v>219700</v>
      </c>
      <c r="C59" s="280">
        <v>1103</v>
      </c>
      <c r="D59" s="425">
        <v>197</v>
      </c>
      <c r="E59" s="425">
        <v>40835</v>
      </c>
      <c r="F59" s="280">
        <v>98369</v>
      </c>
      <c r="G59" s="425">
        <v>18826</v>
      </c>
      <c r="H59" s="425">
        <v>45320</v>
      </c>
      <c r="I59" s="425">
        <v>7923</v>
      </c>
      <c r="J59" s="425">
        <v>697</v>
      </c>
      <c r="K59" s="280">
        <v>124</v>
      </c>
      <c r="L59" s="280">
        <v>0</v>
      </c>
      <c r="M59" s="280">
        <v>6306</v>
      </c>
      <c r="N59" s="233"/>
      <c r="O59" s="7" t="s">
        <v>44</v>
      </c>
      <c r="P59" s="425">
        <f>(B59*1000)/SUM('Population Figures'!$Q19:$S19)</f>
        <v>607.09055237779432</v>
      </c>
      <c r="Q59" s="280">
        <f>(C59/SUM('Population Figures'!T19:V19))*1000</f>
        <v>3.0347218400924452</v>
      </c>
      <c r="R59" s="425">
        <f>(D59/'Population Figures'!T19)*1000</f>
        <v>2.6617305301842946</v>
      </c>
      <c r="S59" s="425">
        <f>(E59/'Population Figures'!T19)*1000</f>
        <v>551.73485380749071</v>
      </c>
      <c r="T59" s="280">
        <f>(F59/'Population Figures'!S19)*1000</f>
        <v>1592.9428529788026</v>
      </c>
      <c r="U59" s="425">
        <f>(G59/'Population Figures'!R19)*1000</f>
        <v>83.334439973617691</v>
      </c>
      <c r="V59" s="425">
        <f>(H59/'Population Figures'!R19)*1000</f>
        <v>200.61175074919547</v>
      </c>
      <c r="W59" s="425">
        <f>(I59/'Population Figures'!R19)*1000</f>
        <v>35.071643892009611</v>
      </c>
      <c r="X59" s="500">
        <f>(J59/'Population Figures'!R19)*1000</f>
        <v>3.0853131128020572</v>
      </c>
      <c r="Y59" s="186">
        <f>(K59/'Population Figures'!R19)*1000</f>
        <v>0.54889358104369457</v>
      </c>
      <c r="Z59" s="186">
        <f>(L59/'Population Figures'!R19)*1000</f>
        <v>0</v>
      </c>
      <c r="AA59" s="501">
        <f>(M59/'Population Figures'!R19)*1000</f>
        <v>27.913894532754338</v>
      </c>
    </row>
    <row r="60" spans="1:27">
      <c r="A60" s="7" t="s">
        <v>45</v>
      </c>
      <c r="B60" s="425">
        <v>523653</v>
      </c>
      <c r="C60" s="280">
        <v>2936</v>
      </c>
      <c r="D60" s="425">
        <v>469</v>
      </c>
      <c r="E60" s="425">
        <v>133547</v>
      </c>
      <c r="F60" s="280">
        <v>227026</v>
      </c>
      <c r="G60" s="425">
        <v>31679</v>
      </c>
      <c r="H60" s="425">
        <v>64462</v>
      </c>
      <c r="I60" s="425">
        <v>23024</v>
      </c>
      <c r="J60" s="425">
        <v>19772</v>
      </c>
      <c r="K60" s="280">
        <v>62</v>
      </c>
      <c r="L60" s="280">
        <v>2826</v>
      </c>
      <c r="M60" s="280">
        <v>17850</v>
      </c>
      <c r="N60" s="233"/>
      <c r="O60" s="7" t="s">
        <v>45</v>
      </c>
      <c r="P60" s="425">
        <f>(B60*1000)/SUM('Population Figures'!$Q20:$S20)</f>
        <v>896.29775434752844</v>
      </c>
      <c r="Q60" s="280">
        <f>(C60/SUM('Population Figures'!T20:V20))*1000</f>
        <v>4.9892093054871109</v>
      </c>
      <c r="R60" s="425">
        <f>(D60/'Population Figures'!T20)*1000</f>
        <v>4.2482268861130983</v>
      </c>
      <c r="S60" s="425">
        <f>(E60/'Population Figures'!T20)*1000</f>
        <v>1209.6758122809083</v>
      </c>
      <c r="T60" s="280">
        <f>(F60/'Population Figures'!S20)*1000</f>
        <v>2754.1337603571474</v>
      </c>
      <c r="U60" s="425">
        <f>(G60/'Population Figures'!R20)*1000</f>
        <v>80.90148758220009</v>
      </c>
      <c r="V60" s="425">
        <f>(H60/'Population Figures'!R20)*1000</f>
        <v>164.62235842431207</v>
      </c>
      <c r="W60" s="425">
        <f>(I60/'Population Figures'!R20)*1000</f>
        <v>58.798442188597335</v>
      </c>
      <c r="X60" s="500">
        <f>(J60/'Population Figures'!R20)*1000</f>
        <v>50.493519759943815</v>
      </c>
      <c r="Y60" s="186">
        <f>(K60/'Population Figures'!R20)*1000</f>
        <v>0.15833492945157376</v>
      </c>
      <c r="Z60" s="186">
        <f>(L60/'Population Figures'!R20)*1000</f>
        <v>7.2170082359701206</v>
      </c>
      <c r="AA60" s="501">
        <f>(M60/'Population Figures'!R20)*1000</f>
        <v>45.585136946945028</v>
      </c>
    </row>
    <row r="61" spans="1:27">
      <c r="A61" s="7" t="s">
        <v>46</v>
      </c>
      <c r="B61" s="425">
        <v>132351</v>
      </c>
      <c r="C61" s="280">
        <v>404</v>
      </c>
      <c r="D61" s="425">
        <v>111</v>
      </c>
      <c r="E61" s="425">
        <v>25679</v>
      </c>
      <c r="F61" s="280">
        <v>60851</v>
      </c>
      <c r="G61" s="425">
        <v>9449</v>
      </c>
      <c r="H61" s="425">
        <v>25989</v>
      </c>
      <c r="I61" s="425">
        <v>5957</v>
      </c>
      <c r="J61" s="425">
        <v>784</v>
      </c>
      <c r="K61" s="280">
        <v>0</v>
      </c>
      <c r="L61" s="280">
        <v>0</v>
      </c>
      <c r="M61" s="280">
        <v>3127</v>
      </c>
      <c r="N61" s="233"/>
      <c r="O61" s="7" t="s">
        <v>46</v>
      </c>
      <c r="P61" s="425">
        <f>(B61*1000)/SUM('Population Figures'!$Q21:$S21)</f>
        <v>603.24065633546036</v>
      </c>
      <c r="Q61" s="280">
        <f>(C61/SUM('Population Figures'!T21:V21))*1000</f>
        <v>1.8322826432037733</v>
      </c>
      <c r="R61" s="425">
        <f>(D61/'Population Figures'!T21)*1000</f>
        <v>2.4871162894913734</v>
      </c>
      <c r="S61" s="425">
        <f>(E61/'Population Figures'!T21)*1000</f>
        <v>575.37530808872964</v>
      </c>
      <c r="T61" s="280">
        <f>(F61/'Population Figures'!S21)*1000</f>
        <v>1526.5032737124652</v>
      </c>
      <c r="U61" s="425">
        <f>(G61/'Population Figures'!R21)*1000</f>
        <v>70.101119510946575</v>
      </c>
      <c r="V61" s="425">
        <f>(H61/'Population Figures'!R21)*1000</f>
        <v>192.80960895015244</v>
      </c>
      <c r="W61" s="425">
        <f>(I61/'Population Figures'!R21)*1000</f>
        <v>44.194345319791381</v>
      </c>
      <c r="X61" s="500">
        <f>(J61/'Population Figures'!R21)*1000</f>
        <v>5.8164120749901702</v>
      </c>
      <c r="Y61" s="186">
        <f>(K61/'Population Figures'!R21)*1000</f>
        <v>0</v>
      </c>
      <c r="Z61" s="186">
        <f>(L61/'Population Figures'!R21)*1000</f>
        <v>0</v>
      </c>
      <c r="AA61" s="501">
        <f>(M61/'Population Figures'!R21)*1000</f>
        <v>23.198878263385538</v>
      </c>
    </row>
    <row r="62" spans="1:27">
      <c r="A62" s="7" t="s">
        <v>47</v>
      </c>
      <c r="B62" s="425">
        <v>64058</v>
      </c>
      <c r="C62" s="280">
        <v>366</v>
      </c>
      <c r="D62" s="425">
        <v>28</v>
      </c>
      <c r="E62" s="425">
        <v>12811</v>
      </c>
      <c r="F62" s="280">
        <v>31648</v>
      </c>
      <c r="G62" s="425">
        <v>3365</v>
      </c>
      <c r="H62" s="425">
        <v>9543</v>
      </c>
      <c r="I62" s="425">
        <v>2931</v>
      </c>
      <c r="J62" s="425">
        <v>1187</v>
      </c>
      <c r="K62" s="280">
        <v>0</v>
      </c>
      <c r="L62" s="280">
        <v>0</v>
      </c>
      <c r="M62" s="280">
        <v>2179</v>
      </c>
      <c r="N62" s="233"/>
      <c r="O62" s="7" t="s">
        <v>47</v>
      </c>
      <c r="P62" s="425">
        <f>(B62*1000)/SUM('Population Figures'!$Q22:$S22)</f>
        <v>792.99331517702399</v>
      </c>
      <c r="Q62" s="280">
        <f>(C62/SUM('Population Figures'!T22:V22))*1000</f>
        <v>4.5630220670739305</v>
      </c>
      <c r="R62" s="425">
        <f>(D62/'Population Figures'!T22)*1000</f>
        <v>1.7462891355868779</v>
      </c>
      <c r="S62" s="425">
        <f>(E62/'Population Figures'!T22)*1000</f>
        <v>798.98964700012471</v>
      </c>
      <c r="T62" s="280">
        <f>(F62/'Population Figures'!S22)*1000</f>
        <v>2223.0963753863448</v>
      </c>
      <c r="U62" s="425">
        <f>(G62/'Population Figures'!R22)*1000</f>
        <v>67.02519669355641</v>
      </c>
      <c r="V62" s="425">
        <f>(H62/'Population Figures'!R22)*1000</f>
        <v>190.08066925605019</v>
      </c>
      <c r="W62" s="425">
        <f>(I62/'Population Figures'!R22)*1000</f>
        <v>58.380639378547954</v>
      </c>
      <c r="X62" s="500">
        <f>(J62/'Population Figures'!R22)*1000</f>
        <v>23.643063439896423</v>
      </c>
      <c r="Y62" s="186">
        <f>(K62/'Population Figures'!R22)*1000</f>
        <v>0</v>
      </c>
      <c r="Z62" s="186">
        <f>(L62/'Population Figures'!R22)*1000</f>
        <v>0</v>
      </c>
      <c r="AA62" s="501">
        <f>(M62/'Population Figures'!R22)*1000</f>
        <v>43.402051588487197</v>
      </c>
    </row>
    <row r="63" spans="1:27">
      <c r="A63" s="7" t="s">
        <v>48</v>
      </c>
      <c r="B63" s="425">
        <v>51282</v>
      </c>
      <c r="C63" s="280">
        <v>1039</v>
      </c>
      <c r="D63" s="425">
        <v>49</v>
      </c>
      <c r="E63" s="425">
        <v>11855</v>
      </c>
      <c r="F63" s="280">
        <v>21133</v>
      </c>
      <c r="G63" s="425">
        <v>3421</v>
      </c>
      <c r="H63" s="425">
        <v>10416</v>
      </c>
      <c r="I63" s="425">
        <v>1727</v>
      </c>
      <c r="J63" s="425">
        <v>663</v>
      </c>
      <c r="K63" s="280">
        <v>3</v>
      </c>
      <c r="L63" s="280">
        <v>3</v>
      </c>
      <c r="M63" s="280">
        <v>973</v>
      </c>
      <c r="N63" s="233"/>
      <c r="O63" s="7" t="s">
        <v>48</v>
      </c>
      <c r="P63" s="425">
        <f>(B63*1000)/SUM('Population Figures'!$Q23:$S23)</f>
        <v>636.56901688182722</v>
      </c>
      <c r="Q63" s="280">
        <f>(C63/SUM('Population Figures'!T23:V23))*1000</f>
        <v>12.857319638658582</v>
      </c>
      <c r="R63" s="425">
        <f>(D63/'Population Figures'!T23)*1000</f>
        <v>2.7784078022227261</v>
      </c>
      <c r="S63" s="425">
        <f>(E63/'Population Figures'!T23)*1000</f>
        <v>672.2045815377636</v>
      </c>
      <c r="T63" s="280">
        <f>(F63/'Population Figures'!S23)*1000</f>
        <v>1628.8731308771389</v>
      </c>
      <c r="U63" s="425">
        <f>(G63/'Population Figures'!R23)*1000</f>
        <v>68.551619108688683</v>
      </c>
      <c r="V63" s="425">
        <f>(H63/'Population Figures'!R23)*1000</f>
        <v>208.72074382815003</v>
      </c>
      <c r="W63" s="425">
        <f>(I63/'Population Figures'!R23)*1000</f>
        <v>34.606444373196538</v>
      </c>
      <c r="X63" s="500">
        <f>(J63/'Population Figures'!R23)*1000</f>
        <v>13.285508175697338</v>
      </c>
      <c r="Y63" s="186">
        <f>(K63/'Population Figures'!R23)*1000</f>
        <v>6.0115421609490224E-2</v>
      </c>
      <c r="Z63" s="186">
        <f>(L63/'Population Figures'!R23)*1000</f>
        <v>6.0115421609490224E-2</v>
      </c>
      <c r="AA63" s="501">
        <f>(M63/'Population Figures'!R23)*1000</f>
        <v>19.497435075344661</v>
      </c>
    </row>
    <row r="64" spans="1:27">
      <c r="A64" s="7" t="s">
        <v>49</v>
      </c>
      <c r="B64" s="425">
        <v>49215</v>
      </c>
      <c r="C64" s="280">
        <v>345</v>
      </c>
      <c r="D64" s="425">
        <v>54</v>
      </c>
      <c r="E64" s="425">
        <v>11626</v>
      </c>
      <c r="F64" s="280">
        <v>21767</v>
      </c>
      <c r="G64" s="425">
        <v>2911</v>
      </c>
      <c r="H64" s="425">
        <v>8996</v>
      </c>
      <c r="I64" s="425">
        <v>2335</v>
      </c>
      <c r="J64" s="425">
        <v>508</v>
      </c>
      <c r="K64" s="280">
        <v>0</v>
      </c>
      <c r="L64" s="280">
        <v>0</v>
      </c>
      <c r="M64" s="280">
        <v>673</v>
      </c>
      <c r="N64" s="233"/>
      <c r="O64" s="7" t="s">
        <v>49</v>
      </c>
      <c r="P64" s="425">
        <f>(B64*1000)/SUM('Population Figures'!$Q24:$S24)</f>
        <v>560.72689985188561</v>
      </c>
      <c r="Q64" s="280">
        <f>(C64/SUM('Population Figures'!T24:V24))*1000</f>
        <v>3.9356605065023951</v>
      </c>
      <c r="R64" s="425">
        <f>(D64/'Population Figures'!T24)*1000</f>
        <v>2.9993334814485673</v>
      </c>
      <c r="S64" s="425">
        <f>(E64/'Population Figures'!T24)*1000</f>
        <v>645.7453899133526</v>
      </c>
      <c r="T64" s="280">
        <f>(F64/'Population Figures'!S24)*1000</f>
        <v>1366.3297972506434</v>
      </c>
      <c r="U64" s="425">
        <f>(G64/'Population Figures'!R24)*1000</f>
        <v>54.131954775364477</v>
      </c>
      <c r="V64" s="425">
        <f>(H64/'Population Figures'!R24)*1000</f>
        <v>167.28652186849152</v>
      </c>
      <c r="W64" s="425">
        <f>(I64/'Population Figures'!R24)*1000</f>
        <v>43.420856887831</v>
      </c>
      <c r="X64" s="500">
        <f>(J64/'Population Figures'!R24)*1000</f>
        <v>9.4465932758107716</v>
      </c>
      <c r="Y64" s="186">
        <f>(K64/'Population Figures'!R24)*1000</f>
        <v>0</v>
      </c>
      <c r="Z64" s="186">
        <f>(L64/'Population Figures'!R24)*1000</f>
        <v>0</v>
      </c>
      <c r="AA64" s="501">
        <f>(M64/'Population Figures'!R24)*1000</f>
        <v>12.514876524843796</v>
      </c>
    </row>
    <row r="65" spans="1:27">
      <c r="A65" s="7" t="s">
        <v>50</v>
      </c>
      <c r="B65" s="425">
        <v>90463</v>
      </c>
      <c r="C65" s="280">
        <v>755</v>
      </c>
      <c r="D65" s="425">
        <v>175</v>
      </c>
      <c r="E65" s="425">
        <v>20766</v>
      </c>
      <c r="F65" s="280">
        <v>43031</v>
      </c>
      <c r="G65" s="425">
        <v>5264</v>
      </c>
      <c r="H65" s="425">
        <v>13096</v>
      </c>
      <c r="I65" s="425">
        <v>3048</v>
      </c>
      <c r="J65" s="425">
        <v>1429</v>
      </c>
      <c r="K65" s="280">
        <v>0</v>
      </c>
      <c r="L65" s="280">
        <v>0</v>
      </c>
      <c r="M65" s="280">
        <v>2899</v>
      </c>
      <c r="N65" s="233"/>
      <c r="O65" s="7" t="s">
        <v>50</v>
      </c>
      <c r="P65" s="425">
        <f>(B65*1000)/SUM('Population Figures'!$Q25:$S25)</f>
        <v>665.56062389640965</v>
      </c>
      <c r="Q65" s="280">
        <f>(C65/SUM('Population Figures'!T25:V25))*1000</f>
        <v>5.5715445354586377</v>
      </c>
      <c r="R65" s="425">
        <f>(D65/'Population Figures'!T25)*1000</f>
        <v>6.2255425115617218</v>
      </c>
      <c r="S65" s="425">
        <f>(E65/'Population Figures'!T25)*1000</f>
        <v>738.74066168623267</v>
      </c>
      <c r="T65" s="280">
        <f>(F65/'Population Figures'!S25)*1000</f>
        <v>1764.0716599024311</v>
      </c>
      <c r="U65" s="425">
        <f>(G65/'Population Figures'!R25)*1000</f>
        <v>63.432386185621667</v>
      </c>
      <c r="V65" s="425">
        <f>(H65/'Population Figures'!R25)*1000</f>
        <v>157.80975104234449</v>
      </c>
      <c r="W65" s="425">
        <f>(I65/'Population Figures'!R25)*1000</f>
        <v>36.729086833923795</v>
      </c>
      <c r="X65" s="500">
        <f>(J65/'Population Figures'!R25)*1000</f>
        <v>17.21977200973658</v>
      </c>
      <c r="Y65" s="186">
        <f>(K65/'Population Figures'!R25)*1000</f>
        <v>0</v>
      </c>
      <c r="Z65" s="186">
        <f>(L65/'Population Figures'!R25)*1000</f>
        <v>0</v>
      </c>
      <c r="AA65" s="501">
        <f>(M65/'Population Figures'!R25)*1000</f>
        <v>34.933603258380927</v>
      </c>
    </row>
    <row r="66" spans="1:27">
      <c r="A66" s="7" t="s">
        <v>51</v>
      </c>
      <c r="B66" s="425">
        <v>192434</v>
      </c>
      <c r="C66" s="280">
        <v>840</v>
      </c>
      <c r="D66" s="425">
        <v>61</v>
      </c>
      <c r="E66" s="425">
        <v>27107</v>
      </c>
      <c r="F66" s="280">
        <v>93760</v>
      </c>
      <c r="G66" s="425">
        <v>5879</v>
      </c>
      <c r="H66" s="425">
        <v>49828</v>
      </c>
      <c r="I66" s="425">
        <v>7204</v>
      </c>
      <c r="J66" s="425">
        <v>1897</v>
      </c>
      <c r="K66" s="280">
        <v>0</v>
      </c>
      <c r="L66" s="280">
        <v>10</v>
      </c>
      <c r="M66" s="280">
        <v>5848</v>
      </c>
      <c r="N66" s="233"/>
      <c r="O66" s="7" t="s">
        <v>51</v>
      </c>
      <c r="P66" s="425">
        <f>(B66*1000)/SUM('Population Figures'!$Q26:$S26)</f>
        <v>591.15876136642908</v>
      </c>
      <c r="Q66" s="280">
        <f>(C66/SUM('Population Figures'!T26:V26))*1000</f>
        <v>2.5741603334150529</v>
      </c>
      <c r="R66" s="425">
        <f>(D66/'Population Figures'!T26)*1000</f>
        <v>0.84986625055728937</v>
      </c>
      <c r="S66" s="425">
        <f>(E66/'Population Figures'!T26)*1000</f>
        <v>377.66105662059738</v>
      </c>
      <c r="T66" s="280">
        <f>(F66/'Population Figures'!S26)*1000</f>
        <v>1945.5915004876429</v>
      </c>
      <c r="U66" s="425">
        <f>(G66/'Population Figures'!R26)*1000</f>
        <v>28.627915017116369</v>
      </c>
      <c r="V66" s="425">
        <f>(H66/'Population Figures'!R26)*1000</f>
        <v>242.63850135616167</v>
      </c>
      <c r="W66" s="425">
        <f>(I66/'Population Figures'!R26)*1000</f>
        <v>35.080030580593011</v>
      </c>
      <c r="X66" s="500">
        <f>(J66/'Population Figures'!R26)*1000</f>
        <v>9.2374816784265601</v>
      </c>
      <c r="Y66" s="186">
        <f>(K66/'Population Figures'!R26)*1000</f>
        <v>0</v>
      </c>
      <c r="Z66" s="186">
        <f>(L66/'Population Figures'!R26)*1000</f>
        <v>4.8695211799823723E-2</v>
      </c>
      <c r="AA66" s="501">
        <f>(M66/'Population Figures'!R26)*1000</f>
        <v>28.476959860536912</v>
      </c>
    </row>
    <row r="67" spans="1:27">
      <c r="A67" s="7" t="s">
        <v>52</v>
      </c>
      <c r="B67" s="425">
        <v>19070</v>
      </c>
      <c r="C67" s="280">
        <v>856</v>
      </c>
      <c r="D67" s="425">
        <v>49</v>
      </c>
      <c r="E67" s="425">
        <v>2596</v>
      </c>
      <c r="F67" s="280">
        <v>11948</v>
      </c>
      <c r="G67" s="425">
        <v>1113</v>
      </c>
      <c r="H67" s="425">
        <v>1879</v>
      </c>
      <c r="I67" s="425">
        <v>568</v>
      </c>
      <c r="J67" s="425">
        <v>71</v>
      </c>
      <c r="K67" s="280">
        <v>0</v>
      </c>
      <c r="L67" s="280">
        <v>0</v>
      </c>
      <c r="M67" s="280">
        <v>-10</v>
      </c>
      <c r="N67" s="233"/>
      <c r="O67" s="7" t="s">
        <v>52</v>
      </c>
      <c r="P67" s="425">
        <f>(B67*1000)/SUM('Population Figures'!$Q27:$S27)</f>
        <v>958.77325289089993</v>
      </c>
      <c r="Q67" s="280">
        <f>(C67/SUM('Population Figures'!T27:V27))*1000</f>
        <v>42.885771543086172</v>
      </c>
      <c r="R67" s="425">
        <f>(D67/'Population Figures'!T27)*1000</f>
        <v>12.296110414052697</v>
      </c>
      <c r="S67" s="425">
        <f>(E67/'Population Figures'!T27)*1000</f>
        <v>651.4429109159347</v>
      </c>
      <c r="T67" s="280">
        <f>(F67/'Population Figures'!S27)*1000</f>
        <v>3155.8372952984678</v>
      </c>
      <c r="U67" s="425">
        <f>(G67/'Population Figures'!R27)*1000</f>
        <v>92.235021132012932</v>
      </c>
      <c r="V67" s="425">
        <f>(H67/'Population Figures'!R27)*1000</f>
        <v>155.71393055440458</v>
      </c>
      <c r="W67" s="425">
        <f>(I67/'Population Figures'!R27)*1000</f>
        <v>47.070522913731665</v>
      </c>
      <c r="X67" s="500">
        <f>(J67/'Population Figures'!R27)*1000</f>
        <v>5.8838153642164581</v>
      </c>
      <c r="Y67" s="186">
        <f>(K67/'Population Figures'!R27)*1000</f>
        <v>0</v>
      </c>
      <c r="Z67" s="186">
        <f>(L67/'Population Figures'!R27)*1000</f>
        <v>0</v>
      </c>
      <c r="AA67" s="501">
        <f>(M67/'Population Figures'!R27)*1000</f>
        <v>-0.82870638932626173</v>
      </c>
    </row>
    <row r="68" spans="1:27">
      <c r="A68" s="7" t="s">
        <v>53</v>
      </c>
      <c r="B68" s="425">
        <v>84310</v>
      </c>
      <c r="C68" s="280">
        <v>497</v>
      </c>
      <c r="D68" s="425">
        <v>0</v>
      </c>
      <c r="E68" s="425">
        <v>14718</v>
      </c>
      <c r="F68" s="280">
        <v>45486</v>
      </c>
      <c r="G68" s="425">
        <v>2251</v>
      </c>
      <c r="H68" s="425">
        <v>14087</v>
      </c>
      <c r="I68" s="425">
        <v>4015</v>
      </c>
      <c r="J68" s="425">
        <v>1088</v>
      </c>
      <c r="K68" s="280">
        <v>0</v>
      </c>
      <c r="L68" s="280">
        <v>0</v>
      </c>
      <c r="M68" s="280">
        <v>2168</v>
      </c>
      <c r="N68" s="233"/>
      <c r="O68" s="7" t="s">
        <v>53</v>
      </c>
      <c r="P68" s="425">
        <f>(B68*1000)/SUM('Population Figures'!$Q28:$S28)</f>
        <v>584.75516715217088</v>
      </c>
      <c r="Q68" s="280">
        <f>(C68/SUM('Population Figures'!T28:V28))*1000</f>
        <v>3.4062093071071207</v>
      </c>
      <c r="R68" s="425">
        <f>(D68/'Population Figures'!T28)*1000</f>
        <v>0</v>
      </c>
      <c r="S68" s="425">
        <f>(E68/'Population Figures'!T28)*1000</f>
        <v>514.74137026544963</v>
      </c>
      <c r="T68" s="280">
        <f>(F68/'Population Figures'!S28)*1000</f>
        <v>1624.4419842148495</v>
      </c>
      <c r="U68" s="425">
        <f>(G68/'Population Figures'!R28)*1000</f>
        <v>25.720423227221826</v>
      </c>
      <c r="V68" s="425">
        <f>(H68/'Population Figures'!R28)*1000</f>
        <v>160.96117370140999</v>
      </c>
      <c r="W68" s="425">
        <f>(I68/'Population Figures'!R28)*1000</f>
        <v>45.876276880184648</v>
      </c>
      <c r="X68" s="500">
        <f>(J68/'Population Figures'!R28)*1000</f>
        <v>12.431728330172078</v>
      </c>
      <c r="Y68" s="186">
        <f>(K68/'Population Figures'!R28)*1000</f>
        <v>0</v>
      </c>
      <c r="Z68" s="186">
        <f>(L68/'Population Figures'!R28)*1000</f>
        <v>0</v>
      </c>
      <c r="AA68" s="501">
        <f>(M68/'Population Figures'!R28)*1000</f>
        <v>24.77204689321054</v>
      </c>
    </row>
    <row r="69" spans="1:27">
      <c r="A69" s="7" t="s">
        <v>54</v>
      </c>
      <c r="B69" s="425">
        <v>120445</v>
      </c>
      <c r="C69" s="280">
        <v>303</v>
      </c>
      <c r="D69" s="425">
        <v>0</v>
      </c>
      <c r="E69" s="425">
        <v>29603</v>
      </c>
      <c r="F69" s="280">
        <v>47277</v>
      </c>
      <c r="G69" s="425">
        <v>10441</v>
      </c>
      <c r="H69" s="425">
        <v>20681</v>
      </c>
      <c r="I69" s="425">
        <v>5818</v>
      </c>
      <c r="J69" s="425">
        <v>2185</v>
      </c>
      <c r="K69" s="280">
        <v>0</v>
      </c>
      <c r="L69" s="280">
        <v>0</v>
      </c>
      <c r="M69" s="280">
        <v>4137</v>
      </c>
      <c r="N69" s="233"/>
      <c r="O69" s="7" t="s">
        <v>54</v>
      </c>
      <c r="P69" s="425">
        <f>(B69*1000)/SUM('Population Figures'!$Q29:$S29)</f>
        <v>709.3345111896349</v>
      </c>
      <c r="Q69" s="280">
        <f>(C69/SUM('Population Figures'!T29:V29))*1000</f>
        <v>1.7832970396092049</v>
      </c>
      <c r="R69" s="425">
        <f>(D69/'Population Figures'!T29)*1000</f>
        <v>0</v>
      </c>
      <c r="S69" s="425">
        <f>(E69/'Population Figures'!T29)*1000</f>
        <v>853.30912025827274</v>
      </c>
      <c r="T69" s="280">
        <f>(F69/'Population Figures'!S29)*1000</f>
        <v>1700.6115107913668</v>
      </c>
      <c r="U69" s="425">
        <f>(G69/'Population Figures'!R29)*1000</f>
        <v>97.699052110527845</v>
      </c>
      <c r="V69" s="425">
        <f>(H69/'Population Figures'!R29)*1000</f>
        <v>193.51729687748551</v>
      </c>
      <c r="W69" s="425">
        <f>(I69/'Population Figures'!R29)*1000</f>
        <v>54.440483208414044</v>
      </c>
      <c r="X69" s="500">
        <f>(J69/'Population Figures'!R29)*1000</f>
        <v>20.445592267168216</v>
      </c>
      <c r="Y69" s="186">
        <f>(K69/'Population Figures'!R29)*1000</f>
        <v>0</v>
      </c>
      <c r="Z69" s="186">
        <f>(L69/'Population Figures'!R29)*1000</f>
        <v>0</v>
      </c>
      <c r="AA69" s="501">
        <f>(M69/'Population Figures'!R29)*1000</f>
        <v>38.710945175869526</v>
      </c>
    </row>
    <row r="70" spans="1:27">
      <c r="A70" s="7" t="s">
        <v>55</v>
      </c>
      <c r="B70" s="425">
        <v>68924</v>
      </c>
      <c r="C70" s="280">
        <v>788</v>
      </c>
      <c r="D70" s="425">
        <v>29</v>
      </c>
      <c r="E70" s="425">
        <v>10659</v>
      </c>
      <c r="F70" s="280">
        <v>33833</v>
      </c>
      <c r="G70" s="425">
        <v>5490</v>
      </c>
      <c r="H70" s="425">
        <v>13774</v>
      </c>
      <c r="I70" s="425">
        <v>2598</v>
      </c>
      <c r="J70" s="425">
        <v>193</v>
      </c>
      <c r="K70" s="280">
        <v>0</v>
      </c>
      <c r="L70" s="280">
        <v>0</v>
      </c>
      <c r="M70" s="280">
        <v>1560</v>
      </c>
      <c r="N70" s="233"/>
      <c r="O70" s="7" t="s">
        <v>55</v>
      </c>
      <c r="P70" s="425">
        <f>(B70*1000)/SUM('Population Figures'!$Q30:$S30)</f>
        <v>613.03922440629731</v>
      </c>
      <c r="Q70" s="280">
        <f>(C70/SUM('Population Figures'!T30:V30))*1000</f>
        <v>6.9932552360667373</v>
      </c>
      <c r="R70" s="425">
        <f>(D70/'Population Figures'!T30)*1000</f>
        <v>1.2728789009349077</v>
      </c>
      <c r="S70" s="425">
        <f>(E70/'Population Figures'!T30)*1000</f>
        <v>467.84883465742001</v>
      </c>
      <c r="T70" s="280">
        <f>(F70/'Population Figures'!S30)*1000</f>
        <v>1537.9335424337471</v>
      </c>
      <c r="U70" s="425">
        <f>(G70/'Population Figures'!R30)*1000</f>
        <v>81.394831650580443</v>
      </c>
      <c r="V70" s="425">
        <f>(H70/'Population Figures'!R30)*1000</f>
        <v>204.21355394446175</v>
      </c>
      <c r="W70" s="425">
        <f>(I70/'Population Figures'!R30)*1000</f>
        <v>38.517991371258283</v>
      </c>
      <c r="X70" s="500">
        <f>(J70/'Population Figures'!R30)*1000</f>
        <v>2.8614212219602959</v>
      </c>
      <c r="Y70" s="186">
        <f>(K70/'Population Figures'!R30)*1000</f>
        <v>0</v>
      </c>
      <c r="Z70" s="186">
        <f>(L70/'Population Figures'!R30)*1000</f>
        <v>0</v>
      </c>
      <c r="AA70" s="501">
        <f>(M70/'Population Figures'!R30)*1000</f>
        <v>23.128586042787884</v>
      </c>
    </row>
    <row r="71" spans="1:27">
      <c r="A71" s="7" t="s">
        <v>56</v>
      </c>
      <c r="B71" s="425">
        <v>23803</v>
      </c>
      <c r="C71" s="280">
        <v>308</v>
      </c>
      <c r="D71" s="425">
        <v>35</v>
      </c>
      <c r="E71" s="425">
        <v>4290</v>
      </c>
      <c r="F71" s="280">
        <v>11325</v>
      </c>
      <c r="G71" s="425">
        <v>1717</v>
      </c>
      <c r="H71" s="425">
        <v>4184</v>
      </c>
      <c r="I71" s="425">
        <v>1023</v>
      </c>
      <c r="J71" s="425">
        <v>456</v>
      </c>
      <c r="K71" s="280">
        <v>0</v>
      </c>
      <c r="L71" s="280">
        <v>0</v>
      </c>
      <c r="M71" s="280">
        <v>465</v>
      </c>
      <c r="N71" s="233"/>
      <c r="O71" s="7" t="s">
        <v>56</v>
      </c>
      <c r="P71" s="425">
        <f>(B71*1000)/SUM('Population Figures'!$Q31:$S31)</f>
        <v>1082.9390354868062</v>
      </c>
      <c r="Q71" s="280">
        <f>(C71/SUM('Population Figures'!T31:V31))*1000</f>
        <v>13.867627194957226</v>
      </c>
      <c r="R71" s="425">
        <f>(D71/'Population Figures'!T31)*1000</f>
        <v>7.1530758226037197</v>
      </c>
      <c r="S71" s="425">
        <f>(E71/'Population Figures'!T31)*1000</f>
        <v>876.76272225628452</v>
      </c>
      <c r="T71" s="280">
        <f>(F71/'Population Figures'!S31)*1000</f>
        <v>3128.4530386740335</v>
      </c>
      <c r="U71" s="425">
        <f>(G71/'Population Figures'!R31)*1000</f>
        <v>127.66748457134358</v>
      </c>
      <c r="V71" s="425">
        <f>(H71/'Population Figures'!R31)*1000</f>
        <v>311.10119711502716</v>
      </c>
      <c r="W71" s="425">
        <f>(I71/'Population Figures'!R31)*1000</f>
        <v>76.065134954271699</v>
      </c>
      <c r="X71" s="500">
        <f>(J71/'Population Figures'!R31)*1000</f>
        <v>33.905866607182695</v>
      </c>
      <c r="Y71" s="186">
        <f>(K71/'Population Figures'!R31)*1000</f>
        <v>0</v>
      </c>
      <c r="Z71" s="186">
        <f>(L71/'Population Figures'!R31)*1000</f>
        <v>0</v>
      </c>
      <c r="AA71" s="501">
        <f>(M71/'Population Figures'!R31)*1000</f>
        <v>34.575061342850773</v>
      </c>
    </row>
    <row r="72" spans="1:27">
      <c r="A72" s="7" t="s">
        <v>57</v>
      </c>
      <c r="B72" s="425">
        <v>83016</v>
      </c>
      <c r="C72" s="280">
        <v>43</v>
      </c>
      <c r="D72" s="425">
        <v>39</v>
      </c>
      <c r="E72" s="425">
        <v>16889</v>
      </c>
      <c r="F72" s="280">
        <v>42520</v>
      </c>
      <c r="G72" s="425">
        <v>2543</v>
      </c>
      <c r="H72" s="425">
        <v>14511</v>
      </c>
      <c r="I72" s="425">
        <v>3872</v>
      </c>
      <c r="J72" s="425">
        <v>1107</v>
      </c>
      <c r="K72" s="280">
        <v>0</v>
      </c>
      <c r="L72" s="280">
        <v>0</v>
      </c>
      <c r="M72" s="280">
        <v>1492</v>
      </c>
      <c r="O72" s="7" t="s">
        <v>57</v>
      </c>
      <c r="P72" s="425">
        <f>(B72*1000)/SUM('Population Figures'!$Q32:$S32)</f>
        <v>743.40467448732875</v>
      </c>
      <c r="Q72" s="280">
        <f>(C72/SUM('Population Figures'!T32:V32))*1000</f>
        <v>0.3858578607322326</v>
      </c>
      <c r="R72" s="425">
        <f>(D72/'Population Figures'!T32)*1000</f>
        <v>1.8571428571428572</v>
      </c>
      <c r="S72" s="425">
        <f>(E72/'Population Figures'!T32)*1000</f>
        <v>804.23809523809518</v>
      </c>
      <c r="T72" s="280">
        <f>(F72/'Population Figures'!S32)*1000</f>
        <v>1836.5583966827921</v>
      </c>
      <c r="U72" s="425">
        <f>(G72/'Population Figures'!R32)*1000</f>
        <v>37.831002677774471</v>
      </c>
      <c r="V72" s="425">
        <f>(H72/'Population Figures'!R32)*1000</f>
        <v>215.87325200833084</v>
      </c>
      <c r="W72" s="425">
        <f>(I72/'Population Figures'!R32)*1000</f>
        <v>57.601904195180005</v>
      </c>
      <c r="X72" s="500">
        <f>(J72/'Population Figures'!R32)*1000</f>
        <v>16.468313002082713</v>
      </c>
      <c r="Y72" s="186">
        <f>(K72/'Population Figures'!R32)*1000</f>
        <v>0</v>
      </c>
      <c r="Z72" s="186">
        <f>(L72/'Population Figures'!R32)*1000</f>
        <v>0</v>
      </c>
      <c r="AA72" s="501">
        <f>(M72/'Population Figures'!R32)*1000</f>
        <v>22.195775066944361</v>
      </c>
    </row>
    <row r="73" spans="1:27">
      <c r="A73" s="7" t="s">
        <v>58</v>
      </c>
      <c r="B73" s="425">
        <v>178718</v>
      </c>
      <c r="C73" s="280">
        <v>1005</v>
      </c>
      <c r="D73" s="425">
        <v>74</v>
      </c>
      <c r="E73" s="425">
        <v>32166</v>
      </c>
      <c r="F73" s="280">
        <v>85887</v>
      </c>
      <c r="G73" s="425">
        <v>5172</v>
      </c>
      <c r="H73" s="425">
        <v>40693</v>
      </c>
      <c r="I73" s="425">
        <v>7981</v>
      </c>
      <c r="J73" s="425">
        <v>1089</v>
      </c>
      <c r="K73" s="280">
        <v>0</v>
      </c>
      <c r="L73" s="280">
        <v>0</v>
      </c>
      <c r="M73" s="280">
        <v>4651</v>
      </c>
      <c r="O73" s="7" t="s">
        <v>58</v>
      </c>
      <c r="P73" s="425">
        <f>(B73*1000)/SUM('Population Figures'!$Q33:$S33)</f>
        <v>576.34235222032316</v>
      </c>
      <c r="Q73" s="280">
        <f>(C73/SUM('Population Figures'!T33:V33))*1000</f>
        <v>3.2322387675682629</v>
      </c>
      <c r="R73" s="425">
        <f>(D73/'Population Figures'!T33)*1000</f>
        <v>1.1395660409319803</v>
      </c>
      <c r="S73" s="425">
        <f>(E73/'Population Figures'!T33)*1000</f>
        <v>495.34163881916322</v>
      </c>
      <c r="T73" s="280">
        <f>(F73/'Population Figures'!S33)*1000</f>
        <v>1696.2652815357574</v>
      </c>
      <c r="U73" s="425">
        <f>(G73/'Population Figures'!R33)*1000</f>
        <v>26.627264630322749</v>
      </c>
      <c r="V73" s="425">
        <f>(H73/'Population Figures'!R33)*1000</f>
        <v>209.50179419986921</v>
      </c>
      <c r="W73" s="425">
        <f>(I73/'Population Figures'!R33)*1000</f>
        <v>41.088978927804689</v>
      </c>
      <c r="X73" s="500">
        <f>(J73/'Population Figures'!R33)*1000</f>
        <v>5.6065528194937118</v>
      </c>
      <c r="Y73" s="186">
        <f>(K73/'Population Figures'!R33)*1000</f>
        <v>0</v>
      </c>
      <c r="Z73" s="186">
        <f>(L73/'Population Figures'!R33)*1000</f>
        <v>0</v>
      </c>
      <c r="AA73" s="501">
        <f>(M73/'Population Figures'!R33)*1000</f>
        <v>23.944974438443758</v>
      </c>
    </row>
    <row r="74" spans="1:27">
      <c r="A74" s="7" t="s">
        <v>59</v>
      </c>
      <c r="B74" s="425">
        <v>51615</v>
      </c>
      <c r="C74" s="280">
        <v>317</v>
      </c>
      <c r="D74" s="425">
        <v>0</v>
      </c>
      <c r="E74" s="425">
        <v>9633</v>
      </c>
      <c r="F74" s="280">
        <v>24525</v>
      </c>
      <c r="G74" s="425">
        <v>2504</v>
      </c>
      <c r="H74" s="425">
        <v>10118</v>
      </c>
      <c r="I74" s="425">
        <v>2175</v>
      </c>
      <c r="J74" s="425">
        <v>362</v>
      </c>
      <c r="K74" s="280">
        <v>0</v>
      </c>
      <c r="L74" s="280">
        <v>0</v>
      </c>
      <c r="M74" s="280">
        <v>1981</v>
      </c>
      <c r="O74" s="7" t="s">
        <v>59</v>
      </c>
      <c r="P74" s="425">
        <f>(B74*1000)/SUM('Population Figures'!$Q34:$S34)</f>
        <v>584.21052631578948</v>
      </c>
      <c r="Q74" s="280">
        <f>(C74/SUM('Population Figures'!T34:V34))*1000</f>
        <v>3.5722334910975886</v>
      </c>
      <c r="R74" s="425">
        <f>(D74/'Population Figures'!T34)*1000</f>
        <v>0</v>
      </c>
      <c r="S74" s="425">
        <f>(E74/'Population Figures'!T34)*1000</f>
        <v>515.13368983957218</v>
      </c>
      <c r="T74" s="280">
        <f>(F74/'Population Figures'!S34)*1000</f>
        <v>1655.416807289909</v>
      </c>
      <c r="U74" s="425">
        <f>(G74/'Population Figures'!R34)*1000</f>
        <v>45.860805860805861</v>
      </c>
      <c r="V74" s="425">
        <f>(H74/'Population Figures'!R34)*1000</f>
        <v>185.3113553113553</v>
      </c>
      <c r="W74" s="425">
        <f>(I74/'Population Figures'!R34)*1000</f>
        <v>39.835164835164832</v>
      </c>
      <c r="X74" s="500">
        <f>(J74/'Population Figures'!R34)*1000</f>
        <v>6.6300366300366305</v>
      </c>
      <c r="Y74" s="186">
        <f>(K74/'Population Figures'!R34)*1000</f>
        <v>0</v>
      </c>
      <c r="Z74" s="186">
        <f>(L74/'Population Figures'!R34)*1000</f>
        <v>0</v>
      </c>
      <c r="AA74" s="501">
        <f>(M74/'Population Figures'!R34)*1000</f>
        <v>36.282051282051277</v>
      </c>
    </row>
    <row r="75" spans="1:27">
      <c r="A75" s="7" t="s">
        <v>60</v>
      </c>
      <c r="B75" s="425">
        <v>72795</v>
      </c>
      <c r="C75" s="280">
        <v>2155</v>
      </c>
      <c r="D75" s="425">
        <v>49</v>
      </c>
      <c r="E75" s="425">
        <v>15234</v>
      </c>
      <c r="F75" s="280">
        <v>28863</v>
      </c>
      <c r="G75" s="425">
        <v>6173</v>
      </c>
      <c r="H75" s="425">
        <v>12642</v>
      </c>
      <c r="I75" s="425">
        <v>5585</v>
      </c>
      <c r="J75" s="425">
        <v>2001</v>
      </c>
      <c r="K75" s="280">
        <v>35</v>
      </c>
      <c r="L75" s="280">
        <v>46</v>
      </c>
      <c r="M75" s="280">
        <v>12</v>
      </c>
      <c r="O75" s="7" t="s">
        <v>60</v>
      </c>
      <c r="P75" s="425">
        <f>(B75*1000)/SUM('Population Figures'!$Q35:$S35)</f>
        <v>800.47283923466023</v>
      </c>
      <c r="Q75" s="280">
        <f>(C75/SUM('Population Figures'!T35:V35))*1000</f>
        <v>23.702155741311042</v>
      </c>
      <c r="R75" s="425">
        <f>(D75/'Population Figures'!T35)*1000</f>
        <v>2.6164032464758651</v>
      </c>
      <c r="S75" s="425">
        <f>(E75/'Population Figures'!T35)*1000</f>
        <v>813.43442973088418</v>
      </c>
      <c r="T75" s="280">
        <f>(F75/'Population Figures'!S35)*1000</f>
        <v>1972.7291367644045</v>
      </c>
      <c r="U75" s="425">
        <f>(G75/'Population Figures'!R35)*1000</f>
        <v>107.36399053847225</v>
      </c>
      <c r="V75" s="425">
        <f>(H75/'Population Figures'!R35)*1000</f>
        <v>219.87616529845556</v>
      </c>
      <c r="W75" s="425">
        <f>(I75/'Population Figures'!R35)*1000</f>
        <v>97.137192152497562</v>
      </c>
      <c r="X75" s="500">
        <f>(J75/'Population Figures'!R35)*1000</f>
        <v>34.802421037985255</v>
      </c>
      <c r="Y75" s="186">
        <f>(K75/'Population Figures'!R35)*1000</f>
        <v>0.60873799916515925</v>
      </c>
      <c r="Z75" s="186">
        <f>(L75/'Population Figures'!R35)*1000</f>
        <v>0.800055656045638</v>
      </c>
      <c r="AA75" s="501">
        <f>(M75/'Population Figures'!R35)*1000</f>
        <v>0.20871017114234033</v>
      </c>
    </row>
    <row r="76" spans="1:27">
      <c r="A76" s="7" t="s">
        <v>61</v>
      </c>
      <c r="B76" s="425">
        <v>79932</v>
      </c>
      <c r="C76" s="280">
        <v>3601</v>
      </c>
      <c r="D76" s="425">
        <v>77</v>
      </c>
      <c r="E76" s="425">
        <v>18361</v>
      </c>
      <c r="F76" s="280">
        <v>32317</v>
      </c>
      <c r="G76" s="425">
        <v>4824</v>
      </c>
      <c r="H76" s="425">
        <v>12641</v>
      </c>
      <c r="I76" s="425">
        <v>4047</v>
      </c>
      <c r="J76" s="425">
        <v>1674</v>
      </c>
      <c r="K76" s="280">
        <v>9</v>
      </c>
      <c r="L76" s="280">
        <v>0</v>
      </c>
      <c r="M76" s="280">
        <v>2381</v>
      </c>
      <c r="O76" s="7" t="s">
        <v>61</v>
      </c>
      <c r="P76" s="425">
        <f>(B76*1000)/SUM('Population Figures'!$Q36:$S36)</f>
        <v>471.5474013332547</v>
      </c>
      <c r="Q76" s="280">
        <f>(C76/SUM('Population Figures'!T36:V36))*1000</f>
        <v>21.05355472404116</v>
      </c>
      <c r="R76" s="425">
        <f>(D76/'Population Figures'!T36)*1000</f>
        <v>1.950552234268923</v>
      </c>
      <c r="S76" s="425">
        <f>(E76/'Population Figures'!T36)*1000</f>
        <v>465.11804640794406</v>
      </c>
      <c r="T76" s="280">
        <f>(F76/'Population Figures'!S36)*1000</f>
        <v>1462.5062225641491</v>
      </c>
      <c r="U76" s="425">
        <f>(G76/'Population Figures'!R36)*1000</f>
        <v>44.66914828601589</v>
      </c>
      <c r="V76" s="425">
        <f>(H76/'Population Figures'!R36)*1000</f>
        <v>117.05279922958684</v>
      </c>
      <c r="W76" s="425">
        <f>(I76/'Population Figures'!R36)*1000</f>
        <v>37.474304128007113</v>
      </c>
      <c r="X76" s="500">
        <f>(J76/'Population Figures'!R36)*1000</f>
        <v>15.500861158953276</v>
      </c>
      <c r="Y76" s="186">
        <f>(K76/'Population Figures'!R36)*1000</f>
        <v>8.3337963220178904E-2</v>
      </c>
      <c r="Z76" s="186">
        <f>(L76/'Population Figures'!R36)*1000</f>
        <v>0</v>
      </c>
      <c r="AA76" s="501">
        <f>(M76/'Population Figures'!R36)*1000</f>
        <v>22.047521158582882</v>
      </c>
    </row>
    <row r="77" spans="1:27">
      <c r="A77" s="52" t="s">
        <v>5</v>
      </c>
      <c r="B77" s="53">
        <f>SUM(B45:B76)</f>
        <v>3408851</v>
      </c>
      <c r="C77" s="52">
        <f t="shared" ref="C77:M77" si="33">SUM(C45:C76)</f>
        <v>33119</v>
      </c>
      <c r="D77" s="53">
        <f t="shared" si="33"/>
        <v>2584</v>
      </c>
      <c r="E77" s="53">
        <f t="shared" si="33"/>
        <v>721123</v>
      </c>
      <c r="F77" s="52">
        <f t="shared" si="33"/>
        <v>1544908</v>
      </c>
      <c r="G77" s="53">
        <f t="shared" si="33"/>
        <v>203723</v>
      </c>
      <c r="H77" s="53">
        <f t="shared" si="33"/>
        <v>597886</v>
      </c>
      <c r="I77" s="53">
        <f t="shared" si="33"/>
        <v>145965</v>
      </c>
      <c r="J77" s="53">
        <f t="shared" si="33"/>
        <v>50952</v>
      </c>
      <c r="K77" s="52">
        <f t="shared" si="33"/>
        <v>1687</v>
      </c>
      <c r="L77" s="52">
        <f t="shared" si="33"/>
        <v>3310</v>
      </c>
      <c r="M77" s="52">
        <f t="shared" si="33"/>
        <v>103594</v>
      </c>
      <c r="N77" s="1"/>
      <c r="O77" s="52" t="s">
        <v>5</v>
      </c>
      <c r="P77" s="53">
        <f>(B77*1000)/SUM('Population Figures'!$Q37:$S37)</f>
        <v>659.54358130985781</v>
      </c>
      <c r="Q77" s="52">
        <f>(C77/SUM('Population Figures'!T37:V37))*1000</f>
        <v>6.3763958413554098</v>
      </c>
      <c r="R77" s="53">
        <f>(D77/'Population Figures'!T37)*1000</f>
        <v>2.4794966545026758</v>
      </c>
      <c r="S77" s="53">
        <f>(E77/'Population Figures'!T37)*1000</f>
        <v>691.95900386413825</v>
      </c>
      <c r="T77" s="52">
        <f>(F77/'Population Figures'!S37)*1000</f>
        <v>1803.6549245046658</v>
      </c>
      <c r="U77" s="53">
        <f>(G77/'Population Figures'!R37)*1000</f>
        <v>62.371871961360135</v>
      </c>
      <c r="V77" s="53">
        <f>(H77/'Population Figures'!R37)*1000</f>
        <v>183.04889010808679</v>
      </c>
      <c r="W77" s="53">
        <f>(I77/'Population Figures'!R37)*1000</f>
        <v>44.688671828119219</v>
      </c>
      <c r="X77" s="445">
        <f>(J77/'Population Figures'!R37)*1000</f>
        <v>15.599473894333098</v>
      </c>
      <c r="Y77" s="446">
        <f>(K77/'Population Figures'!R37)*1000</f>
        <v>0.51649223700227531</v>
      </c>
      <c r="Z77" s="446">
        <f>(L77/'Population Figures'!R37)*1000</f>
        <v>1.0133902219783826</v>
      </c>
      <c r="AA77" s="446">
        <f>(M77/'Population Figures'!R37)*1000</f>
        <v>31.716358506232194</v>
      </c>
    </row>
  </sheetData>
  <sheetProtection selectLockedCells="1" selectUnlockedCells="1"/>
  <mergeCells count="4">
    <mergeCell ref="B1:M1"/>
    <mergeCell ref="O1:Z1"/>
    <mergeCell ref="B43:M43"/>
    <mergeCell ref="O43:Z43"/>
  </mergeCells>
  <phoneticPr fontId="5" type="noConversion"/>
  <pageMargins left="0.75" right="0.75" top="1" bottom="1" header="0.5" footer="0.5"/>
  <pageSetup paperSize="9" scale="3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D77"/>
  <sheetViews>
    <sheetView zoomScale="85" workbookViewId="0">
      <selection activeCell="A2" sqref="A2"/>
    </sheetView>
  </sheetViews>
  <sheetFormatPr defaultRowHeight="12.75"/>
  <cols>
    <col min="1" max="1" width="31" customWidth="1"/>
    <col min="2" max="2" width="10.5703125" customWidth="1"/>
    <col min="4" max="4" width="10.5703125" customWidth="1"/>
    <col min="5" max="5" width="11.42578125"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30">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30"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c r="AC2" s="169"/>
      <c r="AD2" s="169"/>
    </row>
    <row r="3" spans="1:30">
      <c r="A3" s="7" t="s">
        <v>31</v>
      </c>
      <c r="B3" s="8">
        <f>B45*$H$39</f>
        <v>159776.38531887432</v>
      </c>
      <c r="C3" s="7">
        <f t="shared" ref="C3:M3" si="0">C45*$H$39</f>
        <v>732.84102066257026</v>
      </c>
      <c r="D3" s="8">
        <f t="shared" si="0"/>
        <v>0</v>
      </c>
      <c r="E3" s="8">
        <f t="shared" si="0"/>
        <v>37541.059494522713</v>
      </c>
      <c r="F3" s="7">
        <f t="shared" si="0"/>
        <v>64154.479409136547</v>
      </c>
      <c r="G3" s="8">
        <f t="shared" si="0"/>
        <v>10409.964091475726</v>
      </c>
      <c r="H3" s="8">
        <f t="shared" si="0"/>
        <v>29798.295861970062</v>
      </c>
      <c r="I3" s="8">
        <f t="shared" si="0"/>
        <v>9305.3766809712415</v>
      </c>
      <c r="J3" s="8">
        <f t="shared" si="0"/>
        <v>2381.7333171533533</v>
      </c>
      <c r="K3" s="7">
        <f t="shared" si="0"/>
        <v>0</v>
      </c>
      <c r="L3" s="7">
        <f t="shared" si="0"/>
        <v>0</v>
      </c>
      <c r="M3" s="7">
        <f t="shared" si="0"/>
        <v>5452.6354429821185</v>
      </c>
      <c r="N3" s="18"/>
      <c r="O3" s="7" t="s">
        <v>31</v>
      </c>
      <c r="P3" s="8">
        <f>(B3*1000)/SUM('Population Figures'!$T5:$V5)</f>
        <v>747.28209774507422</v>
      </c>
      <c r="Q3" s="280">
        <f>(C3*1000)/SUM('Population Figures'!$T5:$V5)</f>
        <v>3.4275338883240738</v>
      </c>
      <c r="R3" s="8">
        <f>(D3*1000)/SUM('Population Figures'!$T5)</f>
        <v>0</v>
      </c>
      <c r="S3" s="8">
        <f>(E3*1000)/SUM('Population Figures'!$T5)</f>
        <v>987.06542987728324</v>
      </c>
      <c r="T3" s="7">
        <f>(F3*1000)/SUM('Population Figures'!$V5)</f>
        <v>1992.8083561375624</v>
      </c>
      <c r="U3" s="8">
        <f>(G3*1000)/SUM('Population Figures'!$U5)</f>
        <v>72.500864243061386</v>
      </c>
      <c r="V3" s="8">
        <f>(H3*1000)/SUM('Population Figures'!$U5)</f>
        <v>207.53214746747594</v>
      </c>
      <c r="W3" s="8">
        <f>(I3*1000)/SUM('Population Figures'!$U5)</f>
        <v>64.807894201103466</v>
      </c>
      <c r="X3" s="185">
        <f>(J3*1000)/SUM('Population Figures'!$U5)</f>
        <v>16.587734825282435</v>
      </c>
      <c r="Y3" s="186">
        <f>(K3*1000)/SUM('Population Figures'!$U5)</f>
        <v>0</v>
      </c>
      <c r="Z3" s="186">
        <f>(L3*1000)/SUM('Population Figures'!$U5)</f>
        <v>0</v>
      </c>
      <c r="AA3" s="186">
        <f>(M3*1000)/SUM('Population Figures'!$U5)</f>
        <v>37.975230129973525</v>
      </c>
      <c r="AC3" s="18"/>
      <c r="AD3" s="121"/>
    </row>
    <row r="4" spans="1:30">
      <c r="A4" s="7" t="s">
        <v>32</v>
      </c>
      <c r="B4" s="8">
        <f t="shared" ref="B4:M35" si="1">B46*$H$39</f>
        <v>167932.4372014518</v>
      </c>
      <c r="C4" s="7">
        <f t="shared" si="1"/>
        <v>1265.4289717254846</v>
      </c>
      <c r="D4" s="8">
        <f t="shared" si="1"/>
        <v>101.19171070195375</v>
      </c>
      <c r="E4" s="8">
        <f t="shared" si="1"/>
        <v>31719.873189405058</v>
      </c>
      <c r="F4" s="7">
        <f t="shared" si="1"/>
        <v>69199.152481604469</v>
      </c>
      <c r="G4" s="8">
        <f t="shared" si="1"/>
        <v>8385.0647015345257</v>
      </c>
      <c r="H4" s="8">
        <f t="shared" si="1"/>
        <v>44645.782761701994</v>
      </c>
      <c r="I4" s="8">
        <f t="shared" si="1"/>
        <v>5980.9626904365296</v>
      </c>
      <c r="J4" s="8">
        <f t="shared" si="1"/>
        <v>3026.1647379394799</v>
      </c>
      <c r="K4" s="7">
        <f t="shared" si="1"/>
        <v>0</v>
      </c>
      <c r="L4" s="7">
        <f t="shared" si="1"/>
        <v>0</v>
      </c>
      <c r="M4" s="7">
        <f t="shared" si="1"/>
        <v>3608.8159564023085</v>
      </c>
      <c r="N4" s="18"/>
      <c r="O4" s="7" t="s">
        <v>32</v>
      </c>
      <c r="P4" s="8">
        <f>(B4*1000)/SUM('Population Figures'!$T6:$V6)</f>
        <v>689.63261139769133</v>
      </c>
      <c r="Q4" s="280">
        <f>(C4*1000)/SUM('Population Figures'!$T6:$V6)</f>
        <v>5.1966201458892227</v>
      </c>
      <c r="R4" s="8">
        <f>(D4*1000)/SUM('Population Figures'!$T6)</f>
        <v>1.9157839966291887</v>
      </c>
      <c r="S4" s="8">
        <f>(E4*1000)/SUM('Population Figures'!$T6)</f>
        <v>600.52770142758538</v>
      </c>
      <c r="T4" s="7">
        <f>(F4*1000)/SUM('Population Figures'!$V6)</f>
        <v>1765.554740052163</v>
      </c>
      <c r="U4" s="8">
        <f>(G4*1000)/SUM('Population Figures'!$U6)</f>
        <v>55.348423070804017</v>
      </c>
      <c r="V4" s="8">
        <f>(H4*1000)/SUM('Population Figures'!$U6)</f>
        <v>294.69941623344505</v>
      </c>
      <c r="W4" s="8">
        <f>(I4*1000)/SUM('Population Figures'!$U6)</f>
        <v>39.479343945955868</v>
      </c>
      <c r="X4" s="185">
        <f>(J4*1000)/SUM('Population Figures'!$U6)</f>
        <v>19.975212137214712</v>
      </c>
      <c r="Y4" s="186">
        <f>(K4*1000)/SUM('Population Figures'!$U6)</f>
        <v>0</v>
      </c>
      <c r="Z4" s="186">
        <f>(L4*1000)/SUM('Population Figures'!$U6)</f>
        <v>0</v>
      </c>
      <c r="AA4" s="186">
        <f>(M4*1000)/SUM('Population Figures'!$R6)</f>
        <v>23.988725962870472</v>
      </c>
      <c r="AC4" s="18"/>
      <c r="AD4" s="121"/>
    </row>
    <row r="5" spans="1:30">
      <c r="A5" s="7" t="s">
        <v>33</v>
      </c>
      <c r="B5" s="8">
        <f t="shared" si="1"/>
        <v>77847.315630964076</v>
      </c>
      <c r="C5" s="7">
        <f t="shared" si="1"/>
        <v>328.07417785475531</v>
      </c>
      <c r="D5" s="8">
        <f t="shared" si="1"/>
        <v>158.71120941674852</v>
      </c>
      <c r="E5" s="8">
        <f t="shared" si="1"/>
        <v>15962.726069257673</v>
      </c>
      <c r="F5" s="7">
        <f t="shared" si="1"/>
        <v>42008.407228038443</v>
      </c>
      <c r="G5" s="8">
        <f t="shared" si="1"/>
        <v>3637.5757057597057</v>
      </c>
      <c r="H5" s="8">
        <f t="shared" si="1"/>
        <v>10885.032543823845</v>
      </c>
      <c r="I5" s="8">
        <f t="shared" si="1"/>
        <v>2536.1838229615987</v>
      </c>
      <c r="J5" s="8">
        <f t="shared" si="1"/>
        <v>616.73684733085497</v>
      </c>
      <c r="K5" s="7">
        <f t="shared" si="1"/>
        <v>0</v>
      </c>
      <c r="L5" s="7">
        <f t="shared" si="1"/>
        <v>0</v>
      </c>
      <c r="M5" s="7">
        <f t="shared" si="1"/>
        <v>1713.8680265204587</v>
      </c>
      <c r="N5" s="18"/>
      <c r="O5" s="7" t="s">
        <v>33</v>
      </c>
      <c r="P5" s="8">
        <f>(B5*1000)/SUM('Population Figures'!$T7:$V7)</f>
        <v>706.0981009611254</v>
      </c>
      <c r="Q5" s="280">
        <f>(C5*1000)/SUM('Population Figures'!$T7:$V7)</f>
        <v>2.9757295043515222</v>
      </c>
      <c r="R5" s="8">
        <f>(D5*1000)/SUM('Population Figures'!$T7)</f>
        <v>7.0808962887814992</v>
      </c>
      <c r="S5" s="8">
        <f>(E5*1000)/SUM('Population Figures'!$T7)</f>
        <v>712.1765891522117</v>
      </c>
      <c r="T5" s="7">
        <f>(F5*1000)/SUM('Population Figures'!$V7)</f>
        <v>1913.8226527580157</v>
      </c>
      <c r="U5" s="8">
        <f>(G5*1000)/SUM('Population Figures'!$U7)</f>
        <v>55.210146400748343</v>
      </c>
      <c r="V5" s="8">
        <f>(H5*1000)/SUM('Population Figures'!$U7)</f>
        <v>165.21009840973568</v>
      </c>
      <c r="W5" s="8">
        <f>(I5*1000)/SUM('Population Figures'!$U7)</f>
        <v>38.493516421722347</v>
      </c>
      <c r="X5" s="185">
        <f>(J5*1000)/SUM('Population Figures'!$U7)</f>
        <v>9.3606661101122395</v>
      </c>
      <c r="Y5" s="186">
        <f>(K5*1000)/SUM('Population Figures'!$U7)</f>
        <v>0</v>
      </c>
      <c r="Z5" s="186">
        <f>(L5*1000)/SUM('Population Figures'!$U7)</f>
        <v>0</v>
      </c>
      <c r="AA5" s="186">
        <f>(M5*1000)/SUM('Population Figures'!$R7)</f>
        <v>25.929981035470508</v>
      </c>
      <c r="AC5" s="18"/>
      <c r="AD5" s="121"/>
    </row>
    <row r="6" spans="1:30">
      <c r="A6" s="7" t="s">
        <v>34</v>
      </c>
      <c r="B6" s="8">
        <f t="shared" si="1"/>
        <v>60375.235308394105</v>
      </c>
      <c r="C6" s="7">
        <f t="shared" si="1"/>
        <v>1624.393250741889</v>
      </c>
      <c r="D6" s="8">
        <f t="shared" si="1"/>
        <v>75.627489050933846</v>
      </c>
      <c r="E6" s="8">
        <f t="shared" si="1"/>
        <v>12118.506238485556</v>
      </c>
      <c r="F6" s="7">
        <f t="shared" si="1"/>
        <v>31765.675753196469</v>
      </c>
      <c r="G6" s="8">
        <f t="shared" si="1"/>
        <v>960.78866371749768</v>
      </c>
      <c r="H6" s="8">
        <f t="shared" si="1"/>
        <v>11362.231347976218</v>
      </c>
      <c r="I6" s="8">
        <f t="shared" si="1"/>
        <v>2165.5026090218103</v>
      </c>
      <c r="J6" s="8">
        <f t="shared" si="1"/>
        <v>329.13935375688112</v>
      </c>
      <c r="K6" s="7">
        <f t="shared" si="1"/>
        <v>0</v>
      </c>
      <c r="L6" s="7">
        <f t="shared" si="1"/>
        <v>0</v>
      </c>
      <c r="M6" s="7">
        <f t="shared" si="1"/>
        <v>-26.629397553145722</v>
      </c>
      <c r="N6" s="18"/>
      <c r="O6" s="7" t="s">
        <v>34</v>
      </c>
      <c r="P6" s="8">
        <f>(B6*1000)/SUM('Population Figures'!$T8:$V8)</f>
        <v>670.53793101281769</v>
      </c>
      <c r="Q6" s="280">
        <f>(C6*1000)/SUM('Population Figures'!$T8:$V8)</f>
        <v>18.040795765680688</v>
      </c>
      <c r="R6" s="8">
        <f>(D6*1000)/SUM('Population Figures'!$T8)</f>
        <v>4.4752641606564794</v>
      </c>
      <c r="S6" s="8">
        <f>(E6*1000)/SUM('Population Figures'!$T8)</f>
        <v>717.11380782801086</v>
      </c>
      <c r="T6" s="7">
        <f>(F6*1000)/SUM('Population Figures'!$V8)</f>
        <v>1667.1394853152342</v>
      </c>
      <c r="U6" s="8">
        <f>(G6*1000)/SUM('Population Figures'!$U8)</f>
        <v>17.763763265063652</v>
      </c>
      <c r="V6" s="8">
        <f>(H6*1000)/SUM('Population Figures'!$U8)</f>
        <v>210.07324029759863</v>
      </c>
      <c r="W6" s="8">
        <f>(I6*1000)/SUM('Population Figures'!$U8)</f>
        <v>40.037395474361865</v>
      </c>
      <c r="X6" s="185">
        <f>(J6*1000)/SUM('Population Figures'!$U8)</f>
        <v>6.0853690120894326</v>
      </c>
      <c r="Y6" s="186">
        <f>(K6*1000)/SUM('Population Figures'!$U8)</f>
        <v>0</v>
      </c>
      <c r="Z6" s="186">
        <f>(L6*1000)/SUM('Population Figures'!$U8)</f>
        <v>0</v>
      </c>
      <c r="AA6" s="186">
        <f>(M6*1000)/SUM('Population Figures'!$R8)</f>
        <v>-0.48873834660547155</v>
      </c>
      <c r="AC6" s="18"/>
      <c r="AD6" s="121"/>
    </row>
    <row r="7" spans="1:30">
      <c r="A7" s="7" t="s">
        <v>35</v>
      </c>
      <c r="B7" s="8">
        <f t="shared" si="1"/>
        <v>37410.042858561239</v>
      </c>
      <c r="C7" s="7">
        <f t="shared" si="1"/>
        <v>132.08181186360278</v>
      </c>
      <c r="D7" s="8">
        <f t="shared" si="1"/>
        <v>51.128443302039784</v>
      </c>
      <c r="E7" s="8">
        <f t="shared" si="1"/>
        <v>10019.044535395547</v>
      </c>
      <c r="F7" s="7">
        <f t="shared" si="1"/>
        <v>15385.400730305473</v>
      </c>
      <c r="G7" s="8">
        <f t="shared" si="1"/>
        <v>3263.6989641135397</v>
      </c>
      <c r="H7" s="8">
        <f t="shared" si="1"/>
        <v>4493.977131068872</v>
      </c>
      <c r="I7" s="8">
        <f t="shared" si="1"/>
        <v>2151.6553222941743</v>
      </c>
      <c r="J7" s="8">
        <f t="shared" si="1"/>
        <v>226.88246715280155</v>
      </c>
      <c r="K7" s="7">
        <f t="shared" si="1"/>
        <v>0</v>
      </c>
      <c r="L7" s="7">
        <f t="shared" si="1"/>
        <v>0</v>
      </c>
      <c r="M7" s="7">
        <f t="shared" si="1"/>
        <v>1686.1734530651872</v>
      </c>
      <c r="N7" s="18"/>
      <c r="O7" s="7" t="s">
        <v>35</v>
      </c>
      <c r="P7" s="8">
        <f>(B7*1000)/SUM('Population Figures'!$T9:$V9)</f>
        <v>740.20662561458721</v>
      </c>
      <c r="Q7" s="280">
        <f>(C7*1000)/SUM('Population Figures'!$T9:$V9)</f>
        <v>2.6134113942145385</v>
      </c>
      <c r="R7" s="8">
        <f>(D7*1000)/SUM('Population Figures'!$T9)</f>
        <v>4.6773802307236103</v>
      </c>
      <c r="S7" s="8">
        <f>(E7*1000)/SUM('Population Figures'!$T9)</f>
        <v>916.57163437888096</v>
      </c>
      <c r="T7" s="7">
        <f>(F7*1000)/SUM('Population Figures'!$V9)</f>
        <v>1953.9498006483964</v>
      </c>
      <c r="U7" s="8">
        <f>(G7*1000)/SUM('Population Figures'!$U9)</f>
        <v>102.84225505320748</v>
      </c>
      <c r="V7" s="8">
        <f>(H7*1000)/SUM('Population Figures'!$U9)</f>
        <v>141.60948892607129</v>
      </c>
      <c r="W7" s="8">
        <f>(I7*1000)/SUM('Population Figures'!$U9)</f>
        <v>67.800703396696846</v>
      </c>
      <c r="X7" s="185">
        <f>(J7*1000)/SUM('Population Figures'!$U9)</f>
        <v>7.1492820908398151</v>
      </c>
      <c r="Y7" s="186">
        <f>(K7*1000)/SUM('Population Figures'!$U9)</f>
        <v>0</v>
      </c>
      <c r="Z7" s="186">
        <f>(L7*1000)/SUM('Population Figures'!$U9)</f>
        <v>0</v>
      </c>
      <c r="AA7" s="186">
        <f>(M7*1000)/SUM('Population Figures'!$R9)</f>
        <v>53.10782529339172</v>
      </c>
      <c r="AC7" s="18"/>
      <c r="AD7" s="121"/>
    </row>
    <row r="8" spans="1:30">
      <c r="A8" s="7" t="s">
        <v>36</v>
      </c>
      <c r="B8" s="8">
        <f t="shared" si="1"/>
        <v>110026.27963418537</v>
      </c>
      <c r="C8" s="7">
        <f t="shared" si="1"/>
        <v>4163.7726014098653</v>
      </c>
      <c r="D8" s="8">
        <f t="shared" si="1"/>
        <v>113.9738215274637</v>
      </c>
      <c r="E8" s="8">
        <f t="shared" si="1"/>
        <v>21823.323882753983</v>
      </c>
      <c r="F8" s="7">
        <f t="shared" si="1"/>
        <v>52309.723377497336</v>
      </c>
      <c r="G8" s="8">
        <f t="shared" si="1"/>
        <v>6853.3417542775833</v>
      </c>
      <c r="H8" s="8">
        <f t="shared" si="1"/>
        <v>16428.207938486659</v>
      </c>
      <c r="I8" s="8">
        <f t="shared" si="1"/>
        <v>3969.9105872229643</v>
      </c>
      <c r="J8" s="8">
        <f t="shared" si="1"/>
        <v>475.06845234811971</v>
      </c>
      <c r="K8" s="7">
        <f t="shared" si="1"/>
        <v>0</v>
      </c>
      <c r="L8" s="7">
        <f t="shared" si="1"/>
        <v>0</v>
      </c>
      <c r="M8" s="7">
        <f t="shared" si="1"/>
        <v>3888.9572186614014</v>
      </c>
      <c r="N8" s="18"/>
      <c r="O8" s="7" t="s">
        <v>36</v>
      </c>
      <c r="P8" s="8">
        <f>(B8*1000)/SUM('Population Figures'!$T10:$V10)</f>
        <v>740.86781788556573</v>
      </c>
      <c r="Q8" s="280">
        <f>(C8*1000)/SUM('Population Figures'!$T10:$V10)</f>
        <v>28.036984724327418</v>
      </c>
      <c r="R8" s="8">
        <f>(D8*1000)/SUM('Population Figures'!$T10)</f>
        <v>3.9909595044283108</v>
      </c>
      <c r="S8" s="8">
        <f>(E8*1000)/SUM('Population Figures'!$T10)</f>
        <v>764.17549838062826</v>
      </c>
      <c r="T8" s="7">
        <f>(F8*1000)/SUM('Population Figures'!$V10)</f>
        <v>1614.9462312832991</v>
      </c>
      <c r="U8" s="8">
        <f>(G8*1000)/SUM('Population Figures'!$U10)</f>
        <v>78.269340851264644</v>
      </c>
      <c r="V8" s="8">
        <f>(H8*1000)/SUM('Population Figures'!$U10)</f>
        <v>187.62014982111512</v>
      </c>
      <c r="W8" s="8">
        <f>(I8*1000)/SUM('Population Figures'!$U10)</f>
        <v>45.338799091181741</v>
      </c>
      <c r="X8" s="185">
        <f>(J8*1000)/SUM('Population Figures'!$U10)</f>
        <v>5.4255713428138064</v>
      </c>
      <c r="Y8" s="186">
        <f>(K8*1000)/SUM('Population Figures'!$U10)</f>
        <v>0</v>
      </c>
      <c r="Z8" s="186">
        <f>(L8*1000)/SUM('Population Figures'!$U10)</f>
        <v>0</v>
      </c>
      <c r="AA8" s="186">
        <f>(M8*1000)/SUM('Population Figures'!$R10)</f>
        <v>44.242468443605894</v>
      </c>
      <c r="AC8" s="18"/>
      <c r="AD8" s="121"/>
    </row>
    <row r="9" spans="1:30">
      <c r="A9" s="7" t="s">
        <v>37</v>
      </c>
      <c r="B9" s="8">
        <f t="shared" si="1"/>
        <v>116912.64184142885</v>
      </c>
      <c r="C9" s="7">
        <f t="shared" si="1"/>
        <v>994.87429258552424</v>
      </c>
      <c r="D9" s="8">
        <f t="shared" si="1"/>
        <v>283.33678996547047</v>
      </c>
      <c r="E9" s="8">
        <f t="shared" si="1"/>
        <v>30549.244872968775</v>
      </c>
      <c r="F9" s="7">
        <f t="shared" si="1"/>
        <v>50164.459110615913</v>
      </c>
      <c r="G9" s="8">
        <f t="shared" si="1"/>
        <v>7684.1789579357301</v>
      </c>
      <c r="H9" s="8">
        <f t="shared" si="1"/>
        <v>16818.062318664714</v>
      </c>
      <c r="I9" s="8">
        <f t="shared" si="1"/>
        <v>3565.1437444151493</v>
      </c>
      <c r="J9" s="8">
        <f t="shared" si="1"/>
        <v>979.9618299557626</v>
      </c>
      <c r="K9" s="7">
        <f t="shared" si="1"/>
        <v>260.96809602082806</v>
      </c>
      <c r="L9" s="7">
        <f t="shared" si="1"/>
        <v>0</v>
      </c>
      <c r="M9" s="7">
        <f t="shared" si="1"/>
        <v>5612.411828300993</v>
      </c>
      <c r="N9" s="18"/>
      <c r="O9" s="7" t="s">
        <v>37</v>
      </c>
      <c r="P9" s="8">
        <f>(B9*1000)/SUM('Population Figures'!$T11:$V11)</f>
        <v>815.34724765624412</v>
      </c>
      <c r="Q9" s="280">
        <f>(C9*1000)/SUM('Population Figures'!$T11:$V11)</f>
        <v>6.9382404113642808</v>
      </c>
      <c r="R9" s="8">
        <f>(D9*1000)/SUM('Population Figures'!$T11)</f>
        <v>10.395772884442138</v>
      </c>
      <c r="S9" s="8">
        <f>(E9*1000)/SUM('Population Figures'!$T11)</f>
        <v>1120.8675425781976</v>
      </c>
      <c r="T9" s="7">
        <f>(F9*1000)/SUM('Population Figures'!$V11)</f>
        <v>1959.7022857495085</v>
      </c>
      <c r="U9" s="8">
        <f>(G9*1000)/SUM('Population Figures'!$U11)</f>
        <v>84.873355180044953</v>
      </c>
      <c r="V9" s="8">
        <f>(H9*1000)/SUM('Population Figures'!$U11)</f>
        <v>185.75899708036178</v>
      </c>
      <c r="W9" s="8">
        <f>(I9*1000)/SUM('Population Figures'!$U11)</f>
        <v>39.377754337068261</v>
      </c>
      <c r="X9" s="185">
        <f>(J9*1000)/SUM('Population Figures'!$U11)</f>
        <v>10.823882279684137</v>
      </c>
      <c r="Y9" s="186">
        <f>(K9*1000)/SUM('Population Figures'!$U11)</f>
        <v>2.882446911437623</v>
      </c>
      <c r="Z9" s="186">
        <f>(L9*1000)/SUM('Population Figures'!$U11)</f>
        <v>0</v>
      </c>
      <c r="AA9" s="186">
        <f>(M9*1000)/SUM('Population Figures'!$R11)</f>
        <v>62.645516556546411</v>
      </c>
      <c r="AC9" s="18"/>
      <c r="AD9" s="121"/>
    </row>
    <row r="10" spans="1:30">
      <c r="A10" s="7" t="s">
        <v>38</v>
      </c>
      <c r="B10" s="8">
        <f t="shared" si="1"/>
        <v>85576.231976789088</v>
      </c>
      <c r="C10" s="7">
        <f t="shared" si="1"/>
        <v>388.78920427592755</v>
      </c>
      <c r="D10" s="8">
        <f t="shared" si="1"/>
        <v>96.931007093450432</v>
      </c>
      <c r="E10" s="8">
        <f t="shared" si="1"/>
        <v>19906.00725892749</v>
      </c>
      <c r="F10" s="7">
        <f t="shared" si="1"/>
        <v>42388.675025097364</v>
      </c>
      <c r="G10" s="8">
        <f t="shared" si="1"/>
        <v>4338.4614493585013</v>
      </c>
      <c r="H10" s="8">
        <f t="shared" si="1"/>
        <v>12792.762584531205</v>
      </c>
      <c r="I10" s="8">
        <f t="shared" si="1"/>
        <v>2812.0643816121883</v>
      </c>
      <c r="J10" s="8">
        <f t="shared" si="1"/>
        <v>325.94382605050367</v>
      </c>
      <c r="K10" s="7">
        <f t="shared" si="1"/>
        <v>0</v>
      </c>
      <c r="L10" s="7">
        <f t="shared" si="1"/>
        <v>0</v>
      </c>
      <c r="M10" s="7">
        <f t="shared" si="1"/>
        <v>2526.597239842466</v>
      </c>
      <c r="N10" s="18"/>
      <c r="O10" s="7" t="s">
        <v>38</v>
      </c>
      <c r="P10" s="8">
        <f>(B10*1000)/SUM('Population Figures'!$T12:$V12)</f>
        <v>711.88945991838523</v>
      </c>
      <c r="Q10" s="280">
        <f>(C10*1000)/SUM('Population Figures'!$T12:$V12)</f>
        <v>3.2342500979612976</v>
      </c>
      <c r="R10" s="8">
        <f>(D10*1000)/SUM('Population Figures'!$T12)</f>
        <v>3.9374038140161844</v>
      </c>
      <c r="S10" s="8">
        <f>(E10*1000)/SUM('Population Figures'!$T12)</f>
        <v>808.5956316080709</v>
      </c>
      <c r="T10" s="7">
        <f>(F10*1000)/SUM('Population Figures'!$V12)</f>
        <v>2040.8606174818181</v>
      </c>
      <c r="U10" s="8">
        <f>(G10*1000)/SUM('Population Figures'!$U12)</f>
        <v>57.983767466233211</v>
      </c>
      <c r="V10" s="8">
        <f>(H10*1000)/SUM('Population Figures'!$U12)</f>
        <v>170.9759507167839</v>
      </c>
      <c r="W10" s="8">
        <f>(I10*1000)/SUM('Population Figures'!$U12)</f>
        <v>37.583389666303873</v>
      </c>
      <c r="X10" s="185">
        <f>(J10*1000)/SUM('Population Figures'!$U12)</f>
        <v>4.356256529503403</v>
      </c>
      <c r="Y10" s="186">
        <f>(K10*1000)/SUM('Population Figures'!$U12)</f>
        <v>0</v>
      </c>
      <c r="Z10" s="186">
        <f>(L10*1000)/SUM('Population Figures'!$U12)</f>
        <v>0</v>
      </c>
      <c r="AA10" s="186">
        <f>(M10*1000)/SUM('Population Figures'!$R12)</f>
        <v>33.836845317295648</v>
      </c>
      <c r="AC10" s="18"/>
      <c r="AD10" s="121"/>
    </row>
    <row r="11" spans="1:30">
      <c r="A11" s="7" t="s">
        <v>39</v>
      </c>
      <c r="B11" s="8">
        <f t="shared" si="1"/>
        <v>57577.018213509553</v>
      </c>
      <c r="C11" s="7">
        <f t="shared" si="1"/>
        <v>3797.3520910785801</v>
      </c>
      <c r="D11" s="8">
        <f t="shared" si="1"/>
        <v>10.65175902125829</v>
      </c>
      <c r="E11" s="8">
        <f t="shared" si="1"/>
        <v>10893.553951040853</v>
      </c>
      <c r="F11" s="7">
        <f t="shared" si="1"/>
        <v>24524.609970545083</v>
      </c>
      <c r="G11" s="8">
        <f t="shared" si="1"/>
        <v>3212.5705208115</v>
      </c>
      <c r="H11" s="8">
        <f t="shared" si="1"/>
        <v>11420.816022593137</v>
      </c>
      <c r="I11" s="8">
        <f t="shared" si="1"/>
        <v>2897.2784537822545</v>
      </c>
      <c r="J11" s="8">
        <f t="shared" si="1"/>
        <v>627.38860635211324</v>
      </c>
      <c r="K11" s="7">
        <f t="shared" si="1"/>
        <v>0</v>
      </c>
      <c r="L11" s="7">
        <f t="shared" si="1"/>
        <v>0</v>
      </c>
      <c r="M11" s="7">
        <f t="shared" si="1"/>
        <v>192.79683828477502</v>
      </c>
      <c r="N11" s="18"/>
      <c r="O11" s="7" t="s">
        <v>39</v>
      </c>
      <c r="P11" s="8">
        <f>(B11*1000)/SUM('Population Figures'!$T13:$V13)</f>
        <v>550.02883276184139</v>
      </c>
      <c r="Q11" s="280">
        <f>(C11*1000)/SUM('Population Figures'!$T13:$V13)</f>
        <v>36.27581286853821</v>
      </c>
      <c r="R11" s="8">
        <f>(D11*1000)/SUM('Population Figures'!$T13)</f>
        <v>0.4876285946373507</v>
      </c>
      <c r="S11" s="8">
        <f>(E11*1000)/SUM('Population Figures'!$T13)</f>
        <v>498.69776373561859</v>
      </c>
      <c r="T11" s="7">
        <f>(F11*1000)/SUM('Population Figures'!$V13)</f>
        <v>1262.5931821738614</v>
      </c>
      <c r="U11" s="8">
        <f>(G11*1000)/SUM('Population Figures'!$U13)</f>
        <v>50.661870321256231</v>
      </c>
      <c r="V11" s="8">
        <f>(H11*1000)/SUM('Population Figures'!$U13)</f>
        <v>180.10496471634923</v>
      </c>
      <c r="W11" s="8">
        <f>(I11*1000)/SUM('Population Figures'!$U13)</f>
        <v>45.689750422353093</v>
      </c>
      <c r="X11" s="185">
        <f>(J11*1000)/SUM('Population Figures'!$U13)</f>
        <v>9.8938466907227838</v>
      </c>
      <c r="Y11" s="186">
        <f>(K11*1000)/SUM('Population Figures'!$U13)</f>
        <v>0</v>
      </c>
      <c r="Z11" s="186">
        <f>(L11*1000)/SUM('Population Figures'!$U13)</f>
        <v>0</v>
      </c>
      <c r="AA11" s="186">
        <f>(M11*1000)/SUM('Population Figures'!$R13)</f>
        <v>3.0387069252253855</v>
      </c>
      <c r="AC11" s="18"/>
      <c r="AD11" s="121"/>
    </row>
    <row r="12" spans="1:30">
      <c r="A12" s="7" t="s">
        <v>40</v>
      </c>
      <c r="B12" s="8">
        <f t="shared" si="1"/>
        <v>58807.29638046489</v>
      </c>
      <c r="C12" s="7">
        <f t="shared" si="1"/>
        <v>1007.6564034110341</v>
      </c>
      <c r="D12" s="8">
        <f t="shared" si="1"/>
        <v>36.215980672278185</v>
      </c>
      <c r="E12" s="8">
        <f t="shared" si="1"/>
        <v>11529.463964609971</v>
      </c>
      <c r="F12" s="7">
        <f t="shared" si="1"/>
        <v>28134.491102849519</v>
      </c>
      <c r="G12" s="8">
        <f t="shared" si="1"/>
        <v>4049.7987798824015</v>
      </c>
      <c r="H12" s="8">
        <f t="shared" si="1"/>
        <v>10197.994086952685</v>
      </c>
      <c r="I12" s="8">
        <f t="shared" si="1"/>
        <v>1562.613048418591</v>
      </c>
      <c r="J12" s="8">
        <f t="shared" si="1"/>
        <v>1198.3228898915575</v>
      </c>
      <c r="K12" s="7">
        <f t="shared" si="1"/>
        <v>0</v>
      </c>
      <c r="L12" s="7">
        <f t="shared" si="1"/>
        <v>0</v>
      </c>
      <c r="M12" s="7">
        <f t="shared" si="1"/>
        <v>1090.7401237768488</v>
      </c>
      <c r="N12" s="18"/>
      <c r="O12" s="7" t="s">
        <v>40</v>
      </c>
      <c r="P12" s="8">
        <f>(B12*1000)/SUM('Population Figures'!$T14:$V14)</f>
        <v>607.32517174909526</v>
      </c>
      <c r="Q12" s="280">
        <f>(C12*1000)/SUM('Population Figures'!$T14:$V14)</f>
        <v>10.406448449974533</v>
      </c>
      <c r="R12" s="8">
        <f>(D12*1000)/SUM('Population Figures'!$T14)</f>
        <v>1.6852480536192735</v>
      </c>
      <c r="S12" s="8">
        <f>(E12*1000)/SUM('Population Figures'!$T14)</f>
        <v>536.50367448161808</v>
      </c>
      <c r="T12" s="7">
        <f>(F12*1000)/SUM('Population Figures'!$V14)</f>
        <v>1629.3792264347901</v>
      </c>
      <c r="U12" s="8">
        <f>(G12*1000)/SUM('Population Figures'!$U14)</f>
        <v>69.736345287524358</v>
      </c>
      <c r="V12" s="8">
        <f>(H12*1000)/SUM('Population Figures'!$U14)</f>
        <v>175.60646233107789</v>
      </c>
      <c r="W12" s="8">
        <f>(I12*1000)/SUM('Population Figures'!$U14)</f>
        <v>26.907737647763867</v>
      </c>
      <c r="X12" s="185">
        <f>(J12*1000)/SUM('Population Figures'!$U14)</f>
        <v>20.634768134788239</v>
      </c>
      <c r="Y12" s="186">
        <f>(K12*1000)/SUM('Population Figures'!$U14)</f>
        <v>0</v>
      </c>
      <c r="Z12" s="186">
        <f>(L12*1000)/SUM('Population Figures'!$U14)</f>
        <v>0</v>
      </c>
      <c r="AA12" s="186">
        <f>(M12*1000)/SUM('Population Figures'!$R14)</f>
        <v>18.885312760178145</v>
      </c>
      <c r="AC12" s="18"/>
      <c r="AD12" s="121"/>
    </row>
    <row r="13" spans="1:30">
      <c r="A13" s="7" t="s">
        <v>41</v>
      </c>
      <c r="B13" s="8">
        <f t="shared" si="1"/>
        <v>50935.646463755016</v>
      </c>
      <c r="C13" s="7">
        <f t="shared" si="1"/>
        <v>1839.5587829713065</v>
      </c>
      <c r="D13" s="8">
        <f t="shared" si="1"/>
        <v>0</v>
      </c>
      <c r="E13" s="8">
        <f t="shared" si="1"/>
        <v>7044.0082407581067</v>
      </c>
      <c r="F13" s="7">
        <f t="shared" si="1"/>
        <v>23853.549152205811</v>
      </c>
      <c r="G13" s="8">
        <f t="shared" si="1"/>
        <v>3304.1756483943213</v>
      </c>
      <c r="H13" s="8">
        <f t="shared" si="1"/>
        <v>10681.583946517812</v>
      </c>
      <c r="I13" s="8">
        <f t="shared" si="1"/>
        <v>2154.8508500005519</v>
      </c>
      <c r="J13" s="8">
        <f t="shared" si="1"/>
        <v>452.69975840347729</v>
      </c>
      <c r="K13" s="7">
        <f t="shared" si="1"/>
        <v>0</v>
      </c>
      <c r="L13" s="7">
        <f t="shared" si="1"/>
        <v>0</v>
      </c>
      <c r="M13" s="7">
        <f t="shared" si="1"/>
        <v>1605.2200845036241</v>
      </c>
      <c r="N13" s="18"/>
      <c r="O13" s="7" t="s">
        <v>41</v>
      </c>
      <c r="P13" s="8">
        <f>(B13*1000)/SUM('Population Figures'!$T15:$V15)</f>
        <v>570.77147538945565</v>
      </c>
      <c r="Q13" s="280">
        <f>(C13*1000)/SUM('Population Figures'!$T15:$V15)</f>
        <v>20.613612538898547</v>
      </c>
      <c r="R13" s="8">
        <f>(D13*1000)/SUM('Population Figures'!$T15)</f>
        <v>0</v>
      </c>
      <c r="S13" s="8">
        <f>(E13*1000)/SUM('Population Figures'!$T15)</f>
        <v>347.06386680913022</v>
      </c>
      <c r="T13" s="7">
        <f>(F13*1000)/SUM('Population Figures'!$V15)</f>
        <v>1501.5453325069752</v>
      </c>
      <c r="U13" s="8">
        <f>(G13*1000)/SUM('Population Figures'!$U15)</f>
        <v>62.274786995256541</v>
      </c>
      <c r="V13" s="8">
        <f>(H13*1000)/SUM('Population Figures'!$U15)</f>
        <v>201.31900837796019</v>
      </c>
      <c r="W13" s="8">
        <f>(I13*1000)/SUM('Population Figures'!$U15)</f>
        <v>40.613118662606055</v>
      </c>
      <c r="X13" s="185">
        <f>(J13*1000)/SUM('Population Figures'!$U15)</f>
        <v>8.5321677862617769</v>
      </c>
      <c r="Y13" s="186">
        <f>(K13*1000)/SUM('Population Figures'!$U15)</f>
        <v>0</v>
      </c>
      <c r="Z13" s="186">
        <f>(L13*1000)/SUM('Population Figures'!$U15)</f>
        <v>0</v>
      </c>
      <c r="AA13" s="186">
        <f>(M13*1000)/SUM('Population Figures'!$R15)</f>
        <v>30.147242694354958</v>
      </c>
      <c r="AC13" s="18"/>
      <c r="AD13" s="121"/>
    </row>
    <row r="14" spans="1:30">
      <c r="A14" s="7" t="s">
        <v>140</v>
      </c>
      <c r="B14" s="8">
        <f t="shared" si="1"/>
        <v>335423.89157942351</v>
      </c>
      <c r="C14" s="7">
        <f t="shared" si="1"/>
        <v>1419.8794775337299</v>
      </c>
      <c r="D14" s="8">
        <f t="shared" si="1"/>
        <v>230.07799485917906</v>
      </c>
      <c r="E14" s="8">
        <f t="shared" si="1"/>
        <v>90205.486447427946</v>
      </c>
      <c r="F14" s="7">
        <f t="shared" si="1"/>
        <v>131324.47179719133</v>
      </c>
      <c r="G14" s="8">
        <f t="shared" si="1"/>
        <v>20425.813099164894</v>
      </c>
      <c r="H14" s="8">
        <f t="shared" si="1"/>
        <v>54019.330700409286</v>
      </c>
      <c r="I14" s="8">
        <f t="shared" si="1"/>
        <v>16050.07049323199</v>
      </c>
      <c r="J14" s="8">
        <f t="shared" si="1"/>
        <v>3045.3379041777448</v>
      </c>
      <c r="K14" s="7">
        <f t="shared" si="1"/>
        <v>1527.4622436484387</v>
      </c>
      <c r="L14" s="7">
        <f t="shared" si="1"/>
        <v>360.02945491853018</v>
      </c>
      <c r="M14" s="7">
        <f t="shared" si="1"/>
        <v>16815.931966860462</v>
      </c>
      <c r="N14" s="18"/>
      <c r="O14" s="7" t="s">
        <v>140</v>
      </c>
      <c r="P14" s="8">
        <f>(B14*1000)/SUM('Population Figures'!$T16:$V16)</f>
        <v>702.22311179379369</v>
      </c>
      <c r="Q14" s="280">
        <f>(C14*1000)/SUM('Population Figures'!$T16:$V16)</f>
        <v>2.9725735408736966</v>
      </c>
      <c r="R14" s="8">
        <f>(D14*1000)/SUM('Population Figures'!$T16)</f>
        <v>2.8278658676660688</v>
      </c>
      <c r="S14" s="8">
        <f>(E14*1000)/SUM('Population Figures'!$T16)</f>
        <v>1108.7067077276329</v>
      </c>
      <c r="T14" s="7">
        <f>(F14*1000)/SUM('Population Figures'!$V16)</f>
        <v>1904.2467344874331</v>
      </c>
      <c r="U14" s="8">
        <f>(G14*1000)/SUM('Population Figures'!$U16)</f>
        <v>62.400333295140747</v>
      </c>
      <c r="V14" s="8">
        <f>(H14*1000)/SUM('Population Figures'!$U16)</f>
        <v>165.02766493167331</v>
      </c>
      <c r="W14" s="8">
        <f>(I14*1000)/SUM('Population Figures'!$U16)</f>
        <v>49.032552257570956</v>
      </c>
      <c r="X14" s="185">
        <f>(J14*1000)/SUM('Population Figures'!$U16)</f>
        <v>9.3034289158743935</v>
      </c>
      <c r="Y14" s="186">
        <f>(K14*1000)/SUM('Population Figures'!$U16)</f>
        <v>4.6663578402811758</v>
      </c>
      <c r="Z14" s="186">
        <f>(L14*1000)/SUM('Population Figures'!$U16)</f>
        <v>1.0998807182810582</v>
      </c>
      <c r="AA14" s="186">
        <f>(M14*1000)/SUM('Population Figures'!$R16)</f>
        <v>52.143556501568909</v>
      </c>
      <c r="AC14" s="18"/>
      <c r="AD14" s="121"/>
    </row>
    <row r="15" spans="1:30">
      <c r="A15" s="7" t="s">
        <v>42</v>
      </c>
      <c r="B15" s="8">
        <f t="shared" si="1"/>
        <v>28378.416384436336</v>
      </c>
      <c r="C15" s="7">
        <f t="shared" si="1"/>
        <v>438.85247167584151</v>
      </c>
      <c r="D15" s="8">
        <f t="shared" si="1"/>
        <v>44.737387889284811</v>
      </c>
      <c r="E15" s="8">
        <f t="shared" si="1"/>
        <v>4285.2026542522099</v>
      </c>
      <c r="F15" s="7">
        <f t="shared" si="1"/>
        <v>16667.87251646497</v>
      </c>
      <c r="G15" s="8">
        <f t="shared" si="1"/>
        <v>1360.2296270146835</v>
      </c>
      <c r="H15" s="8">
        <f t="shared" si="1"/>
        <v>3914.5214403124214</v>
      </c>
      <c r="I15" s="8">
        <f t="shared" si="1"/>
        <v>1153.5855020022727</v>
      </c>
      <c r="J15" s="8">
        <f t="shared" si="1"/>
        <v>170.42814434013263</v>
      </c>
      <c r="K15" s="7">
        <f t="shared" si="1"/>
        <v>0</v>
      </c>
      <c r="L15" s="7">
        <f t="shared" si="1"/>
        <v>0</v>
      </c>
      <c r="M15" s="7">
        <f t="shared" si="1"/>
        <v>342.9866404845169</v>
      </c>
      <c r="N15" s="18"/>
      <c r="O15" s="7" t="s">
        <v>42</v>
      </c>
      <c r="P15" s="8">
        <f>(B15*1000)/SUM('Population Figures'!$T17:$V17)</f>
        <v>1083.9731239280495</v>
      </c>
      <c r="Q15" s="280">
        <f>(C15*1000)/SUM('Population Figures'!$T17:$V17)</f>
        <v>16.762890438343831</v>
      </c>
      <c r="R15" s="8">
        <f>(D15*1000)/SUM('Population Figures'!$T17)</f>
        <v>8.6666772354290593</v>
      </c>
      <c r="S15" s="8">
        <f>(E15*1000)/SUM('Population Figures'!$T17)</f>
        <v>830.14386947931223</v>
      </c>
      <c r="T15" s="7">
        <f>(F15*1000)/SUM('Population Figures'!$V17)</f>
        <v>2967.9260178890613</v>
      </c>
      <c r="U15" s="8">
        <f>(G15*1000)/SUM('Population Figures'!$U17)</f>
        <v>88.315129659439265</v>
      </c>
      <c r="V15" s="8">
        <f>(H15*1000)/SUM('Population Figures'!$U17)</f>
        <v>254.15669655320227</v>
      </c>
      <c r="W15" s="8">
        <f>(I15*1000)/SUM('Population Figures'!$U17)</f>
        <v>74.898422412821247</v>
      </c>
      <c r="X15" s="185">
        <f>(J15*1000)/SUM('Population Figures'!$U17)</f>
        <v>11.06532556422105</v>
      </c>
      <c r="Y15" s="186">
        <f>(K15*1000)/SUM('Population Figures'!$U17)</f>
        <v>0</v>
      </c>
      <c r="Z15" s="186">
        <f>(L15*1000)/SUM('Population Figures'!$U17)</f>
        <v>0</v>
      </c>
      <c r="AA15" s="186">
        <f>(M15*1000)/SUM('Population Figures'!$R17)</f>
        <v>22.179684459681642</v>
      </c>
      <c r="AC15" s="18"/>
      <c r="AD15" s="121"/>
    </row>
    <row r="16" spans="1:30">
      <c r="A16" s="7" t="s">
        <v>43</v>
      </c>
      <c r="B16" s="8">
        <f t="shared" si="1"/>
        <v>104983.7369135217</v>
      </c>
      <c r="C16" s="7">
        <f t="shared" si="1"/>
        <v>421.80965724182823</v>
      </c>
      <c r="D16" s="8">
        <f t="shared" si="1"/>
        <v>92.670303484947112</v>
      </c>
      <c r="E16" s="8">
        <f t="shared" si="1"/>
        <v>23904.677595507852</v>
      </c>
      <c r="F16" s="7">
        <f t="shared" si="1"/>
        <v>49087.566273566699</v>
      </c>
      <c r="G16" s="8">
        <f t="shared" si="1"/>
        <v>7825.8473529184648</v>
      </c>
      <c r="H16" s="8">
        <f t="shared" si="1"/>
        <v>15368.35791587146</v>
      </c>
      <c r="I16" s="8">
        <f t="shared" si="1"/>
        <v>4557.8876851964224</v>
      </c>
      <c r="J16" s="8">
        <f t="shared" si="1"/>
        <v>401.57131510143751</v>
      </c>
      <c r="K16" s="7">
        <f t="shared" si="1"/>
        <v>0</v>
      </c>
      <c r="L16" s="7">
        <f t="shared" si="1"/>
        <v>0</v>
      </c>
      <c r="M16" s="7">
        <f t="shared" si="1"/>
        <v>3323.3488146325863</v>
      </c>
      <c r="N16" s="18"/>
      <c r="O16" s="7" t="s">
        <v>43</v>
      </c>
      <c r="P16" s="8">
        <f>(B16*1000)/SUM('Population Figures'!$T18:$V18)</f>
        <v>688.50824313694716</v>
      </c>
      <c r="Q16" s="280">
        <f>(C16*1000)/SUM('Population Figures'!$T18:$V18)</f>
        <v>2.766327762603805</v>
      </c>
      <c r="R16" s="8">
        <f>(D16*1000)/SUM('Population Figures'!$T18)</f>
        <v>2.8889052772912001</v>
      </c>
      <c r="S16" s="8">
        <f>(E16*1000)/SUM('Population Figures'!$T18)</f>
        <v>745.20473830998981</v>
      </c>
      <c r="T16" s="7">
        <f>(F16*1000)/SUM('Population Figures'!$V18)</f>
        <v>1991.8668346683453</v>
      </c>
      <c r="U16" s="8">
        <f>(G16*1000)/SUM('Population Figures'!$U18)</f>
        <v>81.72525901667187</v>
      </c>
      <c r="V16" s="8">
        <f>(H16*1000)/SUM('Population Figures'!$U18)</f>
        <v>160.49163428508803</v>
      </c>
      <c r="W16" s="8">
        <f>(I16*1000)/SUM('Population Figures'!$U18)</f>
        <v>47.597983303707494</v>
      </c>
      <c r="X16" s="185">
        <f>(J16*1000)/SUM('Population Figures'!$U18)</f>
        <v>4.1936059138812158</v>
      </c>
      <c r="Y16" s="186">
        <f>(K16*1000)/SUM('Population Figures'!$U18)</f>
        <v>0</v>
      </c>
      <c r="Z16" s="186">
        <f>(L16*1000)/SUM('Population Figures'!$U18)</f>
        <v>0</v>
      </c>
      <c r="AA16" s="186">
        <f>(M16*1000)/SUM('Population Figures'!$R18)</f>
        <v>34.956861414037931</v>
      </c>
      <c r="AC16" s="18"/>
      <c r="AD16" s="121"/>
    </row>
    <row r="17" spans="1:30">
      <c r="A17" s="7" t="s">
        <v>44</v>
      </c>
      <c r="B17" s="8">
        <f t="shared" si="1"/>
        <v>246586.09099032514</v>
      </c>
      <c r="C17" s="7">
        <f t="shared" si="1"/>
        <v>1090.7401237768488</v>
      </c>
      <c r="D17" s="8">
        <f t="shared" si="1"/>
        <v>232.20834666343069</v>
      </c>
      <c r="E17" s="8">
        <f t="shared" si="1"/>
        <v>47582.472723862906</v>
      </c>
      <c r="F17" s="7">
        <f t="shared" si="1"/>
        <v>108396.56050393285</v>
      </c>
      <c r="G17" s="8">
        <f t="shared" si="1"/>
        <v>21046.810650104253</v>
      </c>
      <c r="H17" s="8">
        <f t="shared" si="1"/>
        <v>51701.507937383481</v>
      </c>
      <c r="I17" s="8">
        <f t="shared" si="1"/>
        <v>8200.7892704667574</v>
      </c>
      <c r="J17" s="8">
        <f t="shared" si="1"/>
        <v>1271.8200271382398</v>
      </c>
      <c r="K17" s="7">
        <f t="shared" si="1"/>
        <v>92.670303484947112</v>
      </c>
      <c r="L17" s="7">
        <f t="shared" si="1"/>
        <v>0</v>
      </c>
      <c r="M17" s="7">
        <f t="shared" si="1"/>
        <v>6970.5111035114242</v>
      </c>
      <c r="N17" s="18"/>
      <c r="O17" s="7" t="s">
        <v>44</v>
      </c>
      <c r="P17" s="8">
        <f>(B17*1000)/SUM('Population Figures'!$T19:$V19)</f>
        <v>678.4407940084883</v>
      </c>
      <c r="Q17" s="280">
        <f>(C17*1000)/SUM('Population Figures'!$T19:$V19)</f>
        <v>3.0009908209344878</v>
      </c>
      <c r="R17" s="8">
        <f>(D17*1000)/SUM('Population Figures'!$T19)</f>
        <v>3.1374418562318365</v>
      </c>
      <c r="S17" s="8">
        <f>(E17*1000)/SUM('Population Figures'!$T19)</f>
        <v>642.9021337602403</v>
      </c>
      <c r="T17" s="7">
        <f>(F17*1000)/SUM('Population Figures'!$V19)</f>
        <v>1721.7281442220662</v>
      </c>
      <c r="U17" s="8">
        <f>(G17*1000)/SUM('Population Figures'!$U19)</f>
        <v>92.926004018297732</v>
      </c>
      <c r="V17" s="8">
        <f>(H17*1000)/SUM('Population Figures'!$U19)</f>
        <v>228.27280646996988</v>
      </c>
      <c r="W17" s="8">
        <f>(I17*1000)/SUM('Population Figures'!$U19)</f>
        <v>36.208173740415724</v>
      </c>
      <c r="X17" s="185">
        <f>(J17*1000)/SUM('Population Figures'!$U19)</f>
        <v>5.6153473757704075</v>
      </c>
      <c r="Y17" s="186">
        <f>(K17*1000)/SUM('Population Figures'!$U19)</f>
        <v>0.40915847712899955</v>
      </c>
      <c r="Z17" s="186">
        <f>(L17*1000)/SUM('Population Figures'!$U19)</f>
        <v>0</v>
      </c>
      <c r="AA17" s="186">
        <f>(M17*1000)/SUM('Population Figures'!$R19)</f>
        <v>30.855393558961456</v>
      </c>
      <c r="AC17" s="18"/>
      <c r="AD17" s="121"/>
    </row>
    <row r="18" spans="1:30">
      <c r="A18" s="7" t="s">
        <v>45</v>
      </c>
      <c r="B18" s="8">
        <f t="shared" si="1"/>
        <v>565753.26795150421</v>
      </c>
      <c r="C18" s="7">
        <f t="shared" si="1"/>
        <v>1945.0111972817635</v>
      </c>
      <c r="D18" s="8">
        <f t="shared" si="1"/>
        <v>545.3700618884244</v>
      </c>
      <c r="E18" s="8">
        <f t="shared" si="1"/>
        <v>152430.93229781461</v>
      </c>
      <c r="F18" s="7">
        <f t="shared" si="1"/>
        <v>234130.98916676783</v>
      </c>
      <c r="G18" s="8">
        <f t="shared" si="1"/>
        <v>35305.255275960597</v>
      </c>
      <c r="H18" s="8">
        <f t="shared" si="1"/>
        <v>71924.937615144474</v>
      </c>
      <c r="I18" s="8">
        <f t="shared" si="1"/>
        <v>23882.30890156321</v>
      </c>
      <c r="J18" s="8">
        <f t="shared" si="1"/>
        <v>21578.333425265042</v>
      </c>
      <c r="K18" s="7">
        <f t="shared" si="1"/>
        <v>28.759749357397382</v>
      </c>
      <c r="L18" s="7">
        <f t="shared" si="1"/>
        <v>2750.2841792888903</v>
      </c>
      <c r="M18" s="7">
        <f t="shared" si="1"/>
        <v>21231.086081172023</v>
      </c>
      <c r="N18" s="18"/>
      <c r="O18" s="7" t="s">
        <v>45</v>
      </c>
      <c r="P18" s="8">
        <f>(B18*1000)/SUM('Population Figures'!$T20:$V20)</f>
        <v>961.39695813126286</v>
      </c>
      <c r="Q18" s="280">
        <f>(C18*1000)/SUM('Population Figures'!$T20:$V20)</f>
        <v>3.3052002604750688</v>
      </c>
      <c r="R18" s="8">
        <f>(D18*1000)/SUM('Population Figures'!$T20)</f>
        <v>4.9399909590523867</v>
      </c>
      <c r="S18" s="8">
        <f>(E18*1000)/SUM('Population Figures'!$T20)</f>
        <v>1380.7274730551419</v>
      </c>
      <c r="T18" s="7">
        <f>(F18*1000)/SUM('Population Figures'!$V20)</f>
        <v>2871.2227652159304</v>
      </c>
      <c r="U18" s="8">
        <f>(G18*1000)/SUM('Population Figures'!$U20)</f>
        <v>89.036194952577233</v>
      </c>
      <c r="V18" s="8">
        <f>(H18*1000)/SUM('Population Figures'!$U20)</f>
        <v>181.38723873820567</v>
      </c>
      <c r="W18" s="8">
        <f>(I18*1000)/SUM('Population Figures'!$U20)</f>
        <v>60.228708011215396</v>
      </c>
      <c r="X18" s="185">
        <f>(J18*1000)/SUM('Population Figures'!$U20)</f>
        <v>54.418320632050381</v>
      </c>
      <c r="Y18" s="186">
        <f>(K18*1000)/SUM('Population Figures'!$U20)</f>
        <v>7.2529107368218007E-2</v>
      </c>
      <c r="Z18" s="186">
        <f>(L18*1000)/SUM('Population Figures'!$U20)</f>
        <v>6.9359316749903295</v>
      </c>
      <c r="AA18" s="186">
        <f>(M18*1000)/SUM('Population Figures'!$R20)</f>
        <v>54.219718013591326</v>
      </c>
      <c r="AC18" s="18"/>
      <c r="AD18" s="121"/>
    </row>
    <row r="19" spans="1:30">
      <c r="A19" s="7" t="s">
        <v>46</v>
      </c>
      <c r="B19" s="8">
        <f t="shared" si="1"/>
        <v>149298.24996966255</v>
      </c>
      <c r="C19" s="7">
        <f t="shared" si="1"/>
        <v>429.26588855670906</v>
      </c>
      <c r="D19" s="8">
        <f t="shared" si="1"/>
        <v>125.69075645084781</v>
      </c>
      <c r="E19" s="8">
        <f t="shared" si="1"/>
        <v>26222.500358533656</v>
      </c>
      <c r="F19" s="7">
        <f t="shared" si="1"/>
        <v>71072.79689344381</v>
      </c>
      <c r="G19" s="8">
        <f t="shared" si="1"/>
        <v>10684.779474224189</v>
      </c>
      <c r="H19" s="8">
        <f t="shared" si="1"/>
        <v>30390.533663552025</v>
      </c>
      <c r="I19" s="8">
        <f t="shared" si="1"/>
        <v>6216.3665648063379</v>
      </c>
      <c r="J19" s="8">
        <f t="shared" si="1"/>
        <v>832.9675554623982</v>
      </c>
      <c r="K19" s="7">
        <f t="shared" si="1"/>
        <v>0</v>
      </c>
      <c r="L19" s="7">
        <f t="shared" si="1"/>
        <v>0</v>
      </c>
      <c r="M19" s="7">
        <f t="shared" si="1"/>
        <v>3323.3488146325863</v>
      </c>
      <c r="N19" s="18"/>
      <c r="O19" s="7" t="s">
        <v>46</v>
      </c>
      <c r="P19" s="8">
        <f>(B19*1000)/SUM('Population Figures'!$T21:$V21)</f>
        <v>677.12027742601731</v>
      </c>
      <c r="Q19" s="280">
        <f>(C19*1000)/SUM('Population Figures'!$T21:$V21)</f>
        <v>1.9468723686185725</v>
      </c>
      <c r="R19" s="8">
        <f>(D19*1000)/SUM('Population Figures'!$T21)</f>
        <v>2.8162840343008697</v>
      </c>
      <c r="S19" s="8">
        <f>(E19*1000)/SUM('Population Figures'!$T21)</f>
        <v>587.55322335948142</v>
      </c>
      <c r="T19" s="7">
        <f>(F19*1000)/SUM('Population Figures'!$V21)</f>
        <v>1738.8265619573276</v>
      </c>
      <c r="U19" s="8">
        <f>(G19*1000)/SUM('Population Figures'!$U21)</f>
        <v>79.154723261850776</v>
      </c>
      <c r="V19" s="8">
        <f>(H19*1000)/SUM('Population Figures'!$U21)</f>
        <v>225.13841186161545</v>
      </c>
      <c r="W19" s="8">
        <f>(I19*1000)/SUM('Population Figures'!$U21)</f>
        <v>46.051935495579819</v>
      </c>
      <c r="X19" s="185">
        <f>(J19*1000)/SUM('Population Figures'!$U21)</f>
        <v>6.1707699721630256</v>
      </c>
      <c r="Y19" s="186">
        <f>(K19*1000)/SUM('Population Figures'!$U21)</f>
        <v>0</v>
      </c>
      <c r="Z19" s="186">
        <f>(L19*1000)/SUM('Population Figures'!$U21)</f>
        <v>0</v>
      </c>
      <c r="AA19" s="186">
        <f>(M19*1000)/SUM('Population Figures'!$R21)</f>
        <v>24.655569100552604</v>
      </c>
      <c r="AC19" s="18"/>
      <c r="AD19" s="121"/>
    </row>
    <row r="20" spans="1:30">
      <c r="A20" s="7" t="s">
        <v>47</v>
      </c>
      <c r="B20" s="8">
        <f t="shared" si="1"/>
        <v>69308.865599523429</v>
      </c>
      <c r="C20" s="7">
        <f t="shared" si="1"/>
        <v>347.24734409302022</v>
      </c>
      <c r="D20" s="8">
        <f t="shared" si="1"/>
        <v>23.433869846768236</v>
      </c>
      <c r="E20" s="8">
        <f t="shared" si="1"/>
        <v>13922.91421668671</v>
      </c>
      <c r="F20" s="7">
        <f t="shared" si="1"/>
        <v>34326.358621906962</v>
      </c>
      <c r="G20" s="8">
        <f t="shared" si="1"/>
        <v>3346.7826844793544</v>
      </c>
      <c r="H20" s="8">
        <f t="shared" si="1"/>
        <v>9738.9032731364532</v>
      </c>
      <c r="I20" s="8">
        <f t="shared" si="1"/>
        <v>3396.8459518792683</v>
      </c>
      <c r="J20" s="8">
        <f t="shared" si="1"/>
        <v>1990.8137610731742</v>
      </c>
      <c r="K20" s="7">
        <f t="shared" si="1"/>
        <v>0</v>
      </c>
      <c r="L20" s="7">
        <f t="shared" si="1"/>
        <v>0</v>
      </c>
      <c r="M20" s="7">
        <f t="shared" si="1"/>
        <v>2215.5658764217242</v>
      </c>
      <c r="N20" s="18"/>
      <c r="O20" s="7" t="s">
        <v>47</v>
      </c>
      <c r="P20" s="8">
        <f>(B20*1000)/SUM('Population Figures'!$T22:$V22)</f>
        <v>864.09257697947169</v>
      </c>
      <c r="Q20" s="280">
        <f>(C20*1000)/SUM('Population Figures'!$T22:$V22)</f>
        <v>4.3292275787684851</v>
      </c>
      <c r="R20" s="8">
        <f>(D20*1000)/SUM('Population Figures'!$T22)</f>
        <v>1.4615111542202968</v>
      </c>
      <c r="S20" s="8">
        <f>(E20*1000)/SUM('Population Figures'!$T22)</f>
        <v>868.33692258243161</v>
      </c>
      <c r="T20" s="7">
        <f>(F20*1000)/SUM('Population Figures'!$V22)</f>
        <v>2389.7492774928264</v>
      </c>
      <c r="U20" s="8">
        <f>(G20*1000)/SUM('Population Figures'!$U22)</f>
        <v>67.188281628510282</v>
      </c>
      <c r="V20" s="8">
        <f>(H20*1000)/SUM('Population Figures'!$U22)</f>
        <v>195.51319507621565</v>
      </c>
      <c r="W20" s="8">
        <f>(I20*1000)/SUM('Population Figures'!$U22)</f>
        <v>68.193325943131541</v>
      </c>
      <c r="X20" s="185">
        <f>(J20*1000)/SUM('Population Figures'!$U22)</f>
        <v>39.966549447385653</v>
      </c>
      <c r="Y20" s="186">
        <f>(K20*1000)/SUM('Population Figures'!$U22)</f>
        <v>0</v>
      </c>
      <c r="Z20" s="186">
        <f>(L20*1000)/SUM('Population Figures'!$U22)</f>
        <v>0</v>
      </c>
      <c r="AA20" s="186">
        <f>(M20*1000)/SUM('Population Figures'!$R22)</f>
        <v>44.130382958305425</v>
      </c>
      <c r="AC20" s="18"/>
      <c r="AD20" s="121"/>
    </row>
    <row r="21" spans="1:30">
      <c r="A21" s="7" t="s">
        <v>48</v>
      </c>
      <c r="B21" s="8">
        <f t="shared" si="1"/>
        <v>55257.065098679501</v>
      </c>
      <c r="C21" s="7">
        <f t="shared" si="1"/>
        <v>1163.1720851214052</v>
      </c>
      <c r="D21" s="8">
        <f t="shared" si="1"/>
        <v>76.692664953059676</v>
      </c>
      <c r="E21" s="8">
        <f t="shared" si="1"/>
        <v>13086.751133517933</v>
      </c>
      <c r="F21" s="7">
        <f t="shared" si="1"/>
        <v>22367.62876874028</v>
      </c>
      <c r="G21" s="8">
        <f t="shared" si="1"/>
        <v>3357.4344435006128</v>
      </c>
      <c r="H21" s="8">
        <f t="shared" si="1"/>
        <v>11336.667126325197</v>
      </c>
      <c r="I21" s="8">
        <f t="shared" si="1"/>
        <v>2077.0930091453665</v>
      </c>
      <c r="J21" s="8">
        <f t="shared" si="1"/>
        <v>804.20780610500083</v>
      </c>
      <c r="K21" s="7">
        <f t="shared" si="1"/>
        <v>3.1955277063774865</v>
      </c>
      <c r="L21" s="7">
        <f t="shared" si="1"/>
        <v>0</v>
      </c>
      <c r="M21" s="7">
        <f t="shared" si="1"/>
        <v>984.22253356426586</v>
      </c>
      <c r="N21" s="18"/>
      <c r="O21" s="7" t="s">
        <v>48</v>
      </c>
      <c r="P21" s="8">
        <f>(B21*1000)/SUM('Population Figures'!$T23:$V23)</f>
        <v>683.78994058506987</v>
      </c>
      <c r="Q21" s="280">
        <f>(C21*1000)/SUM('Population Figures'!$T23:$V23)</f>
        <v>14.393912697950812</v>
      </c>
      <c r="R21" s="8">
        <f>(D21*1000)/SUM('Population Figures'!$T23)</f>
        <v>4.3486428301802951</v>
      </c>
      <c r="S21" s="8">
        <f>(E21*1000)/SUM('Population Figures'!$T23)</f>
        <v>742.04758071659865</v>
      </c>
      <c r="T21" s="7">
        <f>(F21*1000)/SUM('Population Figures'!$V23)</f>
        <v>1686.0868964827591</v>
      </c>
      <c r="U21" s="8">
        <f>(G21*1000)/SUM('Population Figures'!$U23)</f>
        <v>67.272470215208244</v>
      </c>
      <c r="V21" s="8">
        <f>(H21*1000)/SUM('Population Figures'!$U23)</f>
        <v>227.15130092019712</v>
      </c>
      <c r="W21" s="8">
        <f>(I21*1000)/SUM('Population Figures'!$U23)</f>
        <v>41.618438109027942</v>
      </c>
      <c r="X21" s="185">
        <f>(J21*1000)/SUM('Population Figures'!$U23)</f>
        <v>16.113805524264663</v>
      </c>
      <c r="Y21" s="186">
        <f>(K21*1000)/SUM('Population Figures'!$U23)</f>
        <v>6.4028366321581445E-2</v>
      </c>
      <c r="Z21" s="186">
        <f>(L21*1000)/SUM('Population Figures'!$U23)</f>
        <v>0</v>
      </c>
      <c r="AA21" s="186">
        <f>(M21*1000)/SUM('Population Figures'!$R23)</f>
        <v>19.722317520925493</v>
      </c>
      <c r="AC21" s="18"/>
      <c r="AD21" s="121"/>
    </row>
    <row r="22" spans="1:30">
      <c r="A22" s="7" t="s">
        <v>49</v>
      </c>
      <c r="B22" s="8">
        <f t="shared" si="1"/>
        <v>55499.92520436419</v>
      </c>
      <c r="C22" s="7">
        <f t="shared" si="1"/>
        <v>418.61412953545079</v>
      </c>
      <c r="D22" s="8">
        <f t="shared" si="1"/>
        <v>62.845378225423907</v>
      </c>
      <c r="E22" s="8">
        <f t="shared" si="1"/>
        <v>13788.702053018855</v>
      </c>
      <c r="F22" s="7">
        <f t="shared" si="1"/>
        <v>24601.302635498145</v>
      </c>
      <c r="G22" s="8">
        <f t="shared" si="1"/>
        <v>3395.7807759771426</v>
      </c>
      <c r="H22" s="8">
        <f t="shared" si="1"/>
        <v>9908.2662415744599</v>
      </c>
      <c r="I22" s="8">
        <f t="shared" si="1"/>
        <v>1798.0169227883991</v>
      </c>
      <c r="J22" s="8">
        <f t="shared" si="1"/>
        <v>763.73112182421937</v>
      </c>
      <c r="K22" s="7">
        <f t="shared" si="1"/>
        <v>0</v>
      </c>
      <c r="L22" s="7">
        <f t="shared" si="1"/>
        <v>0</v>
      </c>
      <c r="M22" s="7">
        <f t="shared" si="1"/>
        <v>762.66594592209356</v>
      </c>
      <c r="N22" s="18"/>
      <c r="O22" s="7" t="s">
        <v>49</v>
      </c>
      <c r="P22" s="8">
        <f>(B22*1000)/SUM('Population Figures'!$T24:$V24)</f>
        <v>633.12714127725519</v>
      </c>
      <c r="Q22" s="280">
        <f>(C22*1000)/SUM('Population Figures'!$T24:$V24)</f>
        <v>4.7754292668885556</v>
      </c>
      <c r="R22" s="8">
        <f>(D22*1000)/SUM('Population Figures'!$T24)</f>
        <v>3.4906342049224564</v>
      </c>
      <c r="S22" s="8">
        <f>(E22*1000)/SUM('Population Figures'!$T24)</f>
        <v>765.86880987663051</v>
      </c>
      <c r="T22" s="7">
        <f>(F22*1000)/SUM('Population Figures'!$V24)</f>
        <v>1513.1813652047081</v>
      </c>
      <c r="U22" s="8">
        <f>(G22*1000)/SUM('Population Figures'!$U24)</f>
        <v>63.593782088788771</v>
      </c>
      <c r="V22" s="8">
        <f>(H22*1000)/SUM('Population Figures'!$U24)</f>
        <v>185.55500658403798</v>
      </c>
      <c r="W22" s="8">
        <f>(I22*1000)/SUM('Population Figures'!$U24)</f>
        <v>33.671990014390033</v>
      </c>
      <c r="X22" s="185">
        <f>(J22*1000)/SUM('Population Figures'!$U24)</f>
        <v>14.302616611562593</v>
      </c>
      <c r="Y22" s="186">
        <f>(K22*1000)/SUM('Population Figures'!$U24)</f>
        <v>0</v>
      </c>
      <c r="Z22" s="186">
        <f>(L22*1000)/SUM('Population Figures'!$U24)</f>
        <v>0</v>
      </c>
      <c r="AA22" s="186">
        <f>(M22*1000)/SUM('Population Figures'!$R24)</f>
        <v>14.182273615034468</v>
      </c>
      <c r="AC22" s="18"/>
      <c r="AD22" s="121"/>
    </row>
    <row r="23" spans="1:30">
      <c r="A23" s="7" t="s">
        <v>50</v>
      </c>
      <c r="B23" s="8">
        <f t="shared" si="1"/>
        <v>104475.64800820767</v>
      </c>
      <c r="C23" s="7">
        <f t="shared" si="1"/>
        <v>872.37906384105383</v>
      </c>
      <c r="D23" s="8">
        <f t="shared" si="1"/>
        <v>182.14507926351675</v>
      </c>
      <c r="E23" s="8">
        <f t="shared" si="1"/>
        <v>23495.650049091535</v>
      </c>
      <c r="F23" s="7">
        <f t="shared" si="1"/>
        <v>50117.591370922375</v>
      </c>
      <c r="G23" s="8">
        <f t="shared" si="1"/>
        <v>5488.8514236543961</v>
      </c>
      <c r="H23" s="8">
        <f t="shared" si="1"/>
        <v>15853.012951338711</v>
      </c>
      <c r="I23" s="8">
        <f t="shared" si="1"/>
        <v>3315.8925833177054</v>
      </c>
      <c r="J23" s="8">
        <f t="shared" si="1"/>
        <v>1513.6149569208028</v>
      </c>
      <c r="K23" s="7">
        <f t="shared" si="1"/>
        <v>0</v>
      </c>
      <c r="L23" s="7">
        <f t="shared" si="1"/>
        <v>0</v>
      </c>
      <c r="M23" s="7">
        <f t="shared" si="1"/>
        <v>3636.51052985758</v>
      </c>
      <c r="N23" s="18"/>
      <c r="O23" s="7" t="s">
        <v>50</v>
      </c>
      <c r="P23" s="8">
        <f>(B23*1000)/SUM('Population Figures'!$T25:$V25)</f>
        <v>770.98109370679413</v>
      </c>
      <c r="Q23" s="280">
        <f>(C23*1000)/SUM('Population Figures'!$T25:$V25)</f>
        <v>6.4377467629035046</v>
      </c>
      <c r="R23" s="8">
        <f>(D23*1000)/SUM('Population Figures'!$T25)</f>
        <v>6.4797253384388744</v>
      </c>
      <c r="S23" s="8">
        <f>(E23*1000)/SUM('Population Figures'!$T25)</f>
        <v>835.84667552798066</v>
      </c>
      <c r="T23" s="7">
        <f>(F23*1000)/SUM('Population Figures'!$V25)</f>
        <v>2015.6688936181777</v>
      </c>
      <c r="U23" s="8">
        <f>(G23*1000)/SUM('Population Figures'!$U25)</f>
        <v>66.502513129475574</v>
      </c>
      <c r="V23" s="8">
        <f>(H23*1000)/SUM('Population Figures'!$U25)</f>
        <v>192.07391866989812</v>
      </c>
      <c r="W23" s="8">
        <f>(I23*1000)/SUM('Population Figures'!$U25)</f>
        <v>40.175106418020079</v>
      </c>
      <c r="X23" s="185">
        <f>(J23*1000)/SUM('Population Figures'!$U25)</f>
        <v>18.338845557342285</v>
      </c>
      <c r="Y23" s="186">
        <f>(K23*1000)/SUM('Population Figures'!$U25)</f>
        <v>0</v>
      </c>
      <c r="Z23" s="186">
        <f>(L23*1000)/SUM('Population Figures'!$U25)</f>
        <v>0</v>
      </c>
      <c r="AA23" s="186">
        <f>(M23*1000)/SUM('Population Figures'!$R25)</f>
        <v>43.820771333207773</v>
      </c>
      <c r="AC23" s="18"/>
      <c r="AD23" s="121"/>
    </row>
    <row r="24" spans="1:30">
      <c r="A24" s="7" t="s">
        <v>51</v>
      </c>
      <c r="B24" s="8">
        <f t="shared" si="1"/>
        <v>211699.44984389999</v>
      </c>
      <c r="C24" s="7">
        <f t="shared" si="1"/>
        <v>969.31007093450432</v>
      </c>
      <c r="D24" s="8">
        <f t="shared" si="1"/>
        <v>53.258795106291444</v>
      </c>
      <c r="E24" s="8">
        <f t="shared" si="1"/>
        <v>26303.453727095221</v>
      </c>
      <c r="F24" s="7">
        <f t="shared" ref="C24:M35" si="2">F66*$H$39</f>
        <v>103209.15386058006</v>
      </c>
      <c r="G24" s="8">
        <f t="shared" si="2"/>
        <v>6054.4598276832112</v>
      </c>
      <c r="H24" s="8">
        <f t="shared" si="2"/>
        <v>55740.654958244624</v>
      </c>
      <c r="I24" s="8">
        <f t="shared" si="2"/>
        <v>9812.4004103831357</v>
      </c>
      <c r="J24" s="8">
        <f t="shared" si="2"/>
        <v>2694.895032378347</v>
      </c>
      <c r="K24" s="7">
        <f t="shared" si="2"/>
        <v>0</v>
      </c>
      <c r="L24" s="7">
        <f t="shared" si="2"/>
        <v>5.3258795106291448</v>
      </c>
      <c r="M24" s="7">
        <f t="shared" si="2"/>
        <v>6856.5372819839604</v>
      </c>
      <c r="N24" s="18"/>
      <c r="O24" s="7" t="s">
        <v>51</v>
      </c>
      <c r="P24" s="8">
        <f>(B24*1000)/SUM('Population Figures'!$T26:$V26)</f>
        <v>648.74800761185338</v>
      </c>
      <c r="Q24" s="280">
        <f>(C24*1000)/SUM('Population Figures'!$T26:$V26)</f>
        <v>2.9704280183087284</v>
      </c>
      <c r="R24" s="8">
        <f>(D24*1000)/SUM('Population Figures'!$T26)</f>
        <v>0.74201397551119375</v>
      </c>
      <c r="S24" s="8">
        <f>(E24*1000)/SUM('Population Figures'!$T26)</f>
        <v>366.46586222546841</v>
      </c>
      <c r="T24" s="7">
        <f>(F24*1000)/SUM('Population Figures'!$V26)</f>
        <v>2102.3191465296491</v>
      </c>
      <c r="U24" s="8">
        <f>(G24*1000)/SUM('Population Figures'!$U26)</f>
        <v>29.469118318641485</v>
      </c>
      <c r="V24" s="8">
        <f>(H24*1000)/SUM('Population Figures'!$U26)</f>
        <v>271.30875468235553</v>
      </c>
      <c r="W24" s="8">
        <f>(I24*1000)/SUM('Population Figures'!$U26)</f>
        <v>47.760295206074126</v>
      </c>
      <c r="X24" s="185">
        <f>(J24*1000)/SUM('Population Figures'!$U26)</f>
        <v>13.116972087643026</v>
      </c>
      <c r="Y24" s="186">
        <f>(K24*1000)/SUM('Population Figures'!$U26)</f>
        <v>0</v>
      </c>
      <c r="Z24" s="186">
        <f>(L24*1000)/SUM('Population Figures'!$U26)</f>
        <v>2.5922869738424951E-2</v>
      </c>
      <c r="AA24" s="186">
        <f>(M24*1000)/SUM('Population Figures'!$R26)</f>
        <v>33.388053515959662</v>
      </c>
      <c r="AC24" s="18"/>
      <c r="AD24" s="121"/>
    </row>
    <row r="25" spans="1:30">
      <c r="A25" s="7" t="s">
        <v>52</v>
      </c>
      <c r="B25" s="8">
        <f t="shared" si="1"/>
        <v>21690.176894988253</v>
      </c>
      <c r="C25" s="7">
        <f t="shared" si="2"/>
        <v>773.31770494335183</v>
      </c>
      <c r="D25" s="8">
        <f t="shared" si="2"/>
        <v>40.476684280781498</v>
      </c>
      <c r="E25" s="8">
        <f t="shared" si="2"/>
        <v>2899.4088055865063</v>
      </c>
      <c r="F25" s="7">
        <f t="shared" si="2"/>
        <v>13436.128829415205</v>
      </c>
      <c r="G25" s="8">
        <f t="shared" si="2"/>
        <v>1473.1382726400213</v>
      </c>
      <c r="H25" s="8">
        <f t="shared" si="2"/>
        <v>2380.6681412512276</v>
      </c>
      <c r="I25" s="8">
        <f t="shared" si="2"/>
        <v>640.17071717762315</v>
      </c>
      <c r="J25" s="8">
        <f t="shared" si="2"/>
        <v>48.998091497788131</v>
      </c>
      <c r="K25" s="7">
        <f t="shared" si="2"/>
        <v>0</v>
      </c>
      <c r="L25" s="7">
        <f t="shared" si="2"/>
        <v>0</v>
      </c>
      <c r="M25" s="7">
        <f t="shared" si="2"/>
        <v>-2.1303518042516578</v>
      </c>
      <c r="N25" s="18"/>
      <c r="O25" s="7" t="s">
        <v>52</v>
      </c>
      <c r="P25" s="8">
        <f>(B25*1000)/SUM('Population Figures'!$T27:$V27)</f>
        <v>1086.6822091677482</v>
      </c>
      <c r="Q25" s="280">
        <f>(C25*1000)/SUM('Population Figures'!$T27:$V27)</f>
        <v>38.743371991149893</v>
      </c>
      <c r="R25" s="8">
        <f>(D25*1000)/SUM('Population Figures'!$T27)</f>
        <v>10.157260798188581</v>
      </c>
      <c r="S25" s="8">
        <f>(E25*1000)/SUM('Population Figures'!$T27)</f>
        <v>727.5806287544558</v>
      </c>
      <c r="T25" s="7">
        <f>(F25*1000)/SUM('Population Figures'!$V27)</f>
        <v>3454.0176939370708</v>
      </c>
      <c r="U25" s="8">
        <f>(G25*1000)/SUM('Population Figures'!$U27)</f>
        <v>121.89807800082923</v>
      </c>
      <c r="V25" s="8">
        <f>(H25*1000)/SUM('Population Figures'!$U27)</f>
        <v>196.99364015318389</v>
      </c>
      <c r="W25" s="8">
        <f>(I25*1000)/SUM('Population Figures'!$U27)</f>
        <v>52.972339030006054</v>
      </c>
      <c r="X25" s="185">
        <f>(J25*1000)/SUM('Population Figures'!$U27)</f>
        <v>4.0544552335778343</v>
      </c>
      <c r="Y25" s="186">
        <f>(K25*1000)/SUM('Population Figures'!$U27)</f>
        <v>0</v>
      </c>
      <c r="Z25" s="186">
        <f>(L25*1000)/SUM('Population Figures'!$U27)</f>
        <v>0</v>
      </c>
      <c r="AA25" s="186">
        <f>(M25*1000)/SUM('Population Figures'!$R27)</f>
        <v>-0.17654361516960784</v>
      </c>
      <c r="AC25" s="18"/>
      <c r="AD25" s="121"/>
    </row>
    <row r="26" spans="1:30">
      <c r="A26" s="7" t="s">
        <v>53</v>
      </c>
      <c r="B26" s="8">
        <f t="shared" si="1"/>
        <v>94023.076880646913</v>
      </c>
      <c r="C26" s="7">
        <f t="shared" si="2"/>
        <v>619.93237503723242</v>
      </c>
      <c r="D26" s="8">
        <f t="shared" si="2"/>
        <v>0</v>
      </c>
      <c r="E26" s="8">
        <f t="shared" si="2"/>
        <v>16989.555638906972</v>
      </c>
      <c r="F26" s="7">
        <f t="shared" si="2"/>
        <v>49647.848798084888</v>
      </c>
      <c r="G26" s="8">
        <f t="shared" si="2"/>
        <v>2730.0458371484997</v>
      </c>
      <c r="H26" s="8">
        <f t="shared" si="2"/>
        <v>15672.998223879447</v>
      </c>
      <c r="I26" s="8">
        <f t="shared" si="2"/>
        <v>4492.9119551667463</v>
      </c>
      <c r="J26" s="8">
        <f t="shared" si="2"/>
        <v>1190.8666585766766</v>
      </c>
      <c r="K26" s="7">
        <f t="shared" si="2"/>
        <v>0</v>
      </c>
      <c r="L26" s="7">
        <f t="shared" si="2"/>
        <v>0</v>
      </c>
      <c r="M26" s="7">
        <f t="shared" si="2"/>
        <v>2678.9173938464596</v>
      </c>
      <c r="N26" s="18"/>
      <c r="O26" s="7" t="s">
        <v>53</v>
      </c>
      <c r="P26" s="8">
        <f>(B26*1000)/SUM('Population Figures'!$T28:$V28)</f>
        <v>644.39090453462347</v>
      </c>
      <c r="Q26" s="280">
        <f>(C26*1000)/SUM('Population Figures'!$T28:$V28)</f>
        <v>4.2487312386898255</v>
      </c>
      <c r="R26" s="8">
        <f>(D26*1000)/SUM('Population Figures'!$T28)</f>
        <v>0</v>
      </c>
      <c r="S26" s="8">
        <f>(E26*1000)/SUM('Population Figures'!$T28)</f>
        <v>594.1858370547676</v>
      </c>
      <c r="T26" s="7">
        <f>(F26*1000)/SUM('Population Figures'!$V28)</f>
        <v>1742.0909083857289</v>
      </c>
      <c r="U26" s="8">
        <f>(G26*1000)/SUM('Population Figures'!$U28)</f>
        <v>30.737528847176243</v>
      </c>
      <c r="V26" s="8">
        <f>(H26*1000)/SUM('Population Figures'!$U28)</f>
        <v>176.4619584304921</v>
      </c>
      <c r="W26" s="8">
        <f>(I26*1000)/SUM('Population Figures'!$U28)</f>
        <v>50.585601512832376</v>
      </c>
      <c r="X26" s="185">
        <f>(J26*1000)/SUM('Population Figures'!$U28)</f>
        <v>13.407942743325414</v>
      </c>
      <c r="Y26" s="186">
        <f>(K26*1000)/SUM('Population Figures'!$U28)</f>
        <v>0</v>
      </c>
      <c r="Z26" s="186">
        <f>(L26*1000)/SUM('Population Figures'!$U28)</f>
        <v>0</v>
      </c>
      <c r="AA26" s="186">
        <f>(M26*1000)/SUM('Population Figures'!$R28)</f>
        <v>30.609901892713037</v>
      </c>
      <c r="AC26" s="18"/>
      <c r="AD26" s="121"/>
    </row>
    <row r="27" spans="1:30">
      <c r="A27" s="7" t="s">
        <v>54</v>
      </c>
      <c r="B27" s="8">
        <f t="shared" si="1"/>
        <v>132009.37990225822</v>
      </c>
      <c r="C27" s="7">
        <f t="shared" si="2"/>
        <v>656.14835570951061</v>
      </c>
      <c r="D27" s="8">
        <f t="shared" si="2"/>
        <v>0</v>
      </c>
      <c r="E27" s="8">
        <f t="shared" si="2"/>
        <v>31551.575396869179</v>
      </c>
      <c r="F27" s="7">
        <f t="shared" si="2"/>
        <v>54426.227895021351</v>
      </c>
      <c r="G27" s="8">
        <f t="shared" si="2"/>
        <v>10843.490683640939</v>
      </c>
      <c r="H27" s="8">
        <f t="shared" si="2"/>
        <v>21979.904740366481</v>
      </c>
      <c r="I27" s="8">
        <f t="shared" si="2"/>
        <v>5449.4399152757405</v>
      </c>
      <c r="J27" s="8">
        <f t="shared" si="2"/>
        <v>2226.2176354429826</v>
      </c>
      <c r="K27" s="7">
        <f t="shared" si="2"/>
        <v>0</v>
      </c>
      <c r="L27" s="7">
        <f t="shared" si="2"/>
        <v>0</v>
      </c>
      <c r="M27" s="7">
        <f t="shared" si="2"/>
        <v>4876.3752799320446</v>
      </c>
      <c r="N27" s="18"/>
      <c r="O27" s="7" t="s">
        <v>54</v>
      </c>
      <c r="P27" s="8">
        <f>(B27*1000)/SUM('Population Figures'!$T29:$V29)</f>
        <v>776.9370837635114</v>
      </c>
      <c r="Q27" s="280">
        <f>(C27*1000)/SUM('Population Figures'!$T29:$V29)</f>
        <v>3.8617406609941183</v>
      </c>
      <c r="R27" s="8">
        <f>(D27*1000)/SUM('Population Figures'!$T29)</f>
        <v>0</v>
      </c>
      <c r="S27" s="8">
        <f>(E27*1000)/SUM('Population Figures'!$T29)</f>
        <v>909.47698019339271</v>
      </c>
      <c r="T27" s="7">
        <f>(F27*1000)/SUM('Population Figures'!$V29)</f>
        <v>1929.5975287180511</v>
      </c>
      <c r="U27" s="8">
        <f>(G27*1000)/SUM('Population Figures'!$U29)</f>
        <v>101.32967035137123</v>
      </c>
      <c r="V27" s="8">
        <f>(H27*1000)/SUM('Population Figures'!$U29)</f>
        <v>205.3966353340418</v>
      </c>
      <c r="W27" s="8">
        <f>(I27*1000)/SUM('Population Figures'!$U29)</f>
        <v>50.92363394082664</v>
      </c>
      <c r="X27" s="185">
        <f>(J27*1000)/SUM('Population Figures'!$U29)</f>
        <v>20.803439197874841</v>
      </c>
      <c r="Y27" s="186">
        <f>(K27*1000)/SUM('Population Figures'!$U29)</f>
        <v>0</v>
      </c>
      <c r="Z27" s="186">
        <f>(L27*1000)/SUM('Population Figures'!$U29)</f>
        <v>0</v>
      </c>
      <c r="AA27" s="186">
        <f>(M27*1000)/SUM('Population Figures'!$R29)</f>
        <v>45.62946485821</v>
      </c>
      <c r="AC27" s="18"/>
      <c r="AD27" s="121"/>
    </row>
    <row r="28" spans="1:30">
      <c r="A28" s="7" t="s">
        <v>55</v>
      </c>
      <c r="B28" s="8">
        <f t="shared" si="1"/>
        <v>87478.636137985828</v>
      </c>
      <c r="C28" s="7">
        <f t="shared" si="2"/>
        <v>569.86910763731851</v>
      </c>
      <c r="D28" s="8">
        <f t="shared" si="2"/>
        <v>40.476684280781498</v>
      </c>
      <c r="E28" s="8">
        <f t="shared" si="2"/>
        <v>15259.709973854626</v>
      </c>
      <c r="F28" s="7">
        <f t="shared" si="2"/>
        <v>41423.625657771358</v>
      </c>
      <c r="G28" s="8">
        <f t="shared" si="2"/>
        <v>6360.1653115933241</v>
      </c>
      <c r="H28" s="8">
        <f t="shared" si="2"/>
        <v>18982.499751784399</v>
      </c>
      <c r="I28" s="8">
        <f t="shared" si="2"/>
        <v>2864.2580008163541</v>
      </c>
      <c r="J28" s="8">
        <f t="shared" si="2"/>
        <v>202.38342140390751</v>
      </c>
      <c r="K28" s="7">
        <f t="shared" si="2"/>
        <v>0</v>
      </c>
      <c r="L28" s="7">
        <f t="shared" si="2"/>
        <v>0</v>
      </c>
      <c r="M28" s="7">
        <f t="shared" si="2"/>
        <v>1775.6482288437569</v>
      </c>
      <c r="N28" s="18"/>
      <c r="O28" s="7" t="s">
        <v>55</v>
      </c>
      <c r="P28" s="8">
        <f>(B28*1000)/SUM('Population Figures'!$T30:$V30)</f>
        <v>776.34572362429731</v>
      </c>
      <c r="Q28" s="280">
        <f>(C28*1000)/SUM('Population Figures'!$T30:$V30)</f>
        <v>5.0574113208849711</v>
      </c>
      <c r="R28" s="8">
        <f>(D28*1000)/SUM('Population Figures'!$T30)</f>
        <v>1.7766178414072553</v>
      </c>
      <c r="S28" s="8">
        <f>(E28*1000)/SUM('Population Figures'!$T30)</f>
        <v>669.78492621053533</v>
      </c>
      <c r="T28" s="7">
        <f>(F28*1000)/SUM('Population Figures'!$V30)</f>
        <v>1840.0686592826651</v>
      </c>
      <c r="U28" s="8">
        <f>(G28*1000)/SUM('Population Figures'!$U30)</f>
        <v>94.385476168187637</v>
      </c>
      <c r="V28" s="8">
        <f>(H28*1000)/SUM('Population Figures'!$U30)</f>
        <v>281.70215555070712</v>
      </c>
      <c r="W28" s="8">
        <f>(I28*1000)/SUM('Population Figures'!$U30)</f>
        <v>42.505869270851882</v>
      </c>
      <c r="X28" s="185">
        <f>(J28*1000)/SUM('Population Figures'!$U30)</f>
        <v>3.0033897960066409</v>
      </c>
      <c r="Y28" s="186">
        <f>(K28*1000)/SUM('Population Figures'!$U30)</f>
        <v>0</v>
      </c>
      <c r="Z28" s="186">
        <f>(L28*1000)/SUM('Population Figures'!$U30)</f>
        <v>0</v>
      </c>
      <c r="AA28" s="186">
        <f>(M28*1000)/SUM('Population Figures'!$R30)</f>
        <v>26.325790283677399</v>
      </c>
      <c r="AC28" s="18"/>
      <c r="AD28" s="121"/>
    </row>
    <row r="29" spans="1:30">
      <c r="A29" s="7" t="s">
        <v>56</v>
      </c>
      <c r="B29" s="8">
        <f t="shared" si="1"/>
        <v>31683.65720873278</v>
      </c>
      <c r="C29" s="7">
        <f t="shared" si="2"/>
        <v>407.96237051419246</v>
      </c>
      <c r="D29" s="8">
        <f t="shared" si="2"/>
        <v>57.519498714794764</v>
      </c>
      <c r="E29" s="8">
        <f t="shared" si="2"/>
        <v>5011.6526195020251</v>
      </c>
      <c r="F29" s="7">
        <f t="shared" si="2"/>
        <v>16937.362019702807</v>
      </c>
      <c r="G29" s="8">
        <f t="shared" si="2"/>
        <v>2078.1581850474922</v>
      </c>
      <c r="H29" s="8">
        <f t="shared" si="2"/>
        <v>5181.0155879400318</v>
      </c>
      <c r="I29" s="8">
        <f t="shared" si="2"/>
        <v>1123.7605767427494</v>
      </c>
      <c r="J29" s="8">
        <f t="shared" si="2"/>
        <v>492.11126678213293</v>
      </c>
      <c r="K29" s="7">
        <f t="shared" si="2"/>
        <v>0</v>
      </c>
      <c r="L29" s="7">
        <f t="shared" si="2"/>
        <v>0</v>
      </c>
      <c r="M29" s="7">
        <f t="shared" si="2"/>
        <v>394.11508378655668</v>
      </c>
      <c r="N29" s="18"/>
      <c r="O29" s="7" t="s">
        <v>56</v>
      </c>
      <c r="P29" s="8">
        <f>(B29*1000)/SUM('Population Figures'!$T31:$V31)</f>
        <v>1426.5491764400172</v>
      </c>
      <c r="Q29" s="280">
        <f>(C29*1000)/SUM('Population Figures'!$T31:$V31)</f>
        <v>18.368409298252701</v>
      </c>
      <c r="R29" s="8">
        <f>(D29*1000)/SUM('Population Figures'!$T31)</f>
        <v>11.755466731002404</v>
      </c>
      <c r="S29" s="8">
        <f>(E29*1000)/SUM('Population Figures'!$T31)</f>
        <v>1024.2494623956723</v>
      </c>
      <c r="T29" s="7">
        <f>(F29*1000)/SUM('Population Figures'!$V31)</f>
        <v>4553.0543063717223</v>
      </c>
      <c r="U29" s="8">
        <f>(G29*1000)/SUM('Population Figures'!$U31)</f>
        <v>152.83946348808502</v>
      </c>
      <c r="V29" s="8">
        <f>(H29*1000)/SUM('Population Figures'!$U31)</f>
        <v>381.04108170479014</v>
      </c>
      <c r="W29" s="8">
        <f>(I29*1000)/SUM('Population Figures'!$U31)</f>
        <v>82.647685279307893</v>
      </c>
      <c r="X29" s="185">
        <f>(J29*1000)/SUM('Population Figures'!$U31)</f>
        <v>36.192635638900704</v>
      </c>
      <c r="Y29" s="186">
        <f>(K29*1000)/SUM('Population Figures'!$U31)</f>
        <v>0</v>
      </c>
      <c r="Z29" s="186">
        <f>(L29*1000)/SUM('Population Figures'!$U31)</f>
        <v>0</v>
      </c>
      <c r="AA29" s="186">
        <f>(M29*1000)/SUM('Population Figures'!$R31)</f>
        <v>29.304415479705305</v>
      </c>
      <c r="AC29" s="18"/>
      <c r="AD29" s="121"/>
    </row>
    <row r="30" spans="1:30">
      <c r="A30" s="7" t="s">
        <v>57</v>
      </c>
      <c r="B30" s="8">
        <f t="shared" si="1"/>
        <v>91414.461096340761</v>
      </c>
      <c r="C30" s="7">
        <f t="shared" si="2"/>
        <v>52.193619204165614</v>
      </c>
      <c r="D30" s="8">
        <f t="shared" si="2"/>
        <v>52.193619204165614</v>
      </c>
      <c r="E30" s="8">
        <f t="shared" si="2"/>
        <v>18347.654914117404</v>
      </c>
      <c r="F30" s="7">
        <f t="shared" si="2"/>
        <v>46205.200282414204</v>
      </c>
      <c r="G30" s="8">
        <f t="shared" si="2"/>
        <v>3423.4753494324141</v>
      </c>
      <c r="H30" s="8">
        <f t="shared" si="2"/>
        <v>16458.032863746183</v>
      </c>
      <c r="I30" s="8">
        <f t="shared" si="2"/>
        <v>4186.1412953545077</v>
      </c>
      <c r="J30" s="8">
        <f t="shared" si="2"/>
        <v>1060.9151985173255</v>
      </c>
      <c r="K30" s="7">
        <f t="shared" si="2"/>
        <v>0</v>
      </c>
      <c r="L30" s="7">
        <f t="shared" si="2"/>
        <v>0</v>
      </c>
      <c r="M30" s="7">
        <f t="shared" si="2"/>
        <v>1628.6539543503925</v>
      </c>
      <c r="N30" s="18"/>
      <c r="O30" s="7" t="s">
        <v>57</v>
      </c>
      <c r="P30" s="8">
        <f>(B30*1000)/SUM('Population Figures'!$T32:$V32)</f>
        <v>820.30205578195228</v>
      </c>
      <c r="Q30" s="280">
        <f>(C30*1000)/SUM('Population Figures'!$T32:$V32)</f>
        <v>0.46835623837190971</v>
      </c>
      <c r="R30" s="8">
        <f>(D30*1000)/SUM('Population Figures'!$T32)</f>
        <v>2.4854104382936009</v>
      </c>
      <c r="S30" s="8">
        <f>(E30*1000)/SUM('Population Figures'!$T32)</f>
        <v>873.69785305320966</v>
      </c>
      <c r="T30" s="7">
        <f>(F30*1000)/SUM('Population Figures'!$V32)</f>
        <v>1970.7071689164125</v>
      </c>
      <c r="U30" s="8">
        <f>(G30*1000)/SUM('Population Figures'!$U32)</f>
        <v>51.10122323540039</v>
      </c>
      <c r="V30" s="8">
        <f>(H30*1000)/SUM('Population Figures'!$U32)</f>
        <v>245.66428133483868</v>
      </c>
      <c r="W30" s="8">
        <f>(I30*1000)/SUM('Population Figures'!$U32)</f>
        <v>62.485316526174103</v>
      </c>
      <c r="X30" s="185">
        <f>(J30*1000)/SUM('Population Figures'!$U32)</f>
        <v>15.835973348618168</v>
      </c>
      <c r="Y30" s="186">
        <f>(K30*1000)/SUM('Population Figures'!$U32)</f>
        <v>0</v>
      </c>
      <c r="Z30" s="186">
        <f>(L30*1000)/SUM('Population Figures'!$U32)</f>
        <v>0</v>
      </c>
      <c r="AA30" s="186">
        <f>(M30*1000)/SUM('Population Figures'!$R32)</f>
        <v>24.228711013841007</v>
      </c>
      <c r="AC30" s="18"/>
      <c r="AD30" s="121"/>
    </row>
    <row r="31" spans="1:30">
      <c r="A31" s="7" t="s">
        <v>58</v>
      </c>
      <c r="B31" s="8">
        <f t="shared" si="1"/>
        <v>197086.30164263575</v>
      </c>
      <c r="C31" s="7">
        <f t="shared" si="2"/>
        <v>1035.3509768663057</v>
      </c>
      <c r="D31" s="8">
        <f t="shared" si="2"/>
        <v>74.56231314880803</v>
      </c>
      <c r="E31" s="8">
        <f t="shared" si="2"/>
        <v>32936.304069632759</v>
      </c>
      <c r="F31" s="7">
        <f t="shared" si="2"/>
        <v>95252.289871700123</v>
      </c>
      <c r="G31" s="8">
        <f t="shared" si="2"/>
        <v>7023.7698986177156</v>
      </c>
      <c r="H31" s="8">
        <f t="shared" si="2"/>
        <v>44889.708043288811</v>
      </c>
      <c r="I31" s="8">
        <f t="shared" si="2"/>
        <v>9133.8833607289835</v>
      </c>
      <c r="J31" s="8">
        <f t="shared" si="2"/>
        <v>1217.4960561298224</v>
      </c>
      <c r="K31" s="7">
        <f t="shared" si="2"/>
        <v>0</v>
      </c>
      <c r="L31" s="7">
        <f t="shared" si="2"/>
        <v>0</v>
      </c>
      <c r="M31" s="7">
        <f t="shared" si="2"/>
        <v>5522.9370525224231</v>
      </c>
      <c r="N31" s="18"/>
      <c r="O31" s="7" t="s">
        <v>58</v>
      </c>
      <c r="P31" s="8">
        <f>(B31*1000)/SUM('Population Figures'!$T33:$V33)</f>
        <v>633.86068131938305</v>
      </c>
      <c r="Q31" s="280">
        <f>(C31*1000)/SUM('Population Figures'!$T33:$V33)</f>
        <v>3.329852303947209</v>
      </c>
      <c r="R31" s="8">
        <f>(D31*1000)/SUM('Population Figures'!$T33)</f>
        <v>1.1482254053745635</v>
      </c>
      <c r="S31" s="8">
        <f>(E31*1000)/SUM('Population Figures'!$T33)</f>
        <v>507.20396799409826</v>
      </c>
      <c r="T31" s="7">
        <f>(F31*1000)/SUM('Population Figures'!$V33)</f>
        <v>1849.918234059043</v>
      </c>
      <c r="U31" s="8">
        <f>(G31*1000)/SUM('Population Figures'!$U33)</f>
        <v>36.111370511599901</v>
      </c>
      <c r="V31" s="8">
        <f>(H31*1000)/SUM('Population Figures'!$U33)</f>
        <v>230.79185433278053</v>
      </c>
      <c r="W31" s="8">
        <f>(I31*1000)/SUM('Population Figures'!$U33)</f>
        <v>46.960115580371422</v>
      </c>
      <c r="X31" s="185">
        <f>(J31*1000)/SUM('Population Figures'!$U33)</f>
        <v>6.2595232779433854</v>
      </c>
      <c r="Y31" s="186">
        <f>(K31*1000)/SUM('Population Figures'!$U33)</f>
        <v>0</v>
      </c>
      <c r="Z31" s="186">
        <f>(L31*1000)/SUM('Population Figures'!$U33)</f>
        <v>0</v>
      </c>
      <c r="AA31" s="186">
        <f>(M31*1000)/SUM('Population Figures'!$R33)</f>
        <v>28.434011298168848</v>
      </c>
      <c r="AC31" s="18"/>
      <c r="AD31" s="121"/>
    </row>
    <row r="32" spans="1:30">
      <c r="A32" s="7" t="s">
        <v>59</v>
      </c>
      <c r="B32" s="8">
        <f t="shared" si="1"/>
        <v>56302.00265866494</v>
      </c>
      <c r="C32" s="7">
        <f t="shared" si="2"/>
        <v>259.90292011870224</v>
      </c>
      <c r="D32" s="8">
        <f t="shared" si="2"/>
        <v>0</v>
      </c>
      <c r="E32" s="8">
        <f t="shared" si="2"/>
        <v>11487.922104427065</v>
      </c>
      <c r="F32" s="7">
        <f t="shared" si="2"/>
        <v>26711.41609760941</v>
      </c>
      <c r="G32" s="8">
        <f t="shared" si="2"/>
        <v>3021.9040343309766</v>
      </c>
      <c r="H32" s="8">
        <f t="shared" si="2"/>
        <v>9934.895639127606</v>
      </c>
      <c r="I32" s="8">
        <f t="shared" si="2"/>
        <v>2357.2342714044594</v>
      </c>
      <c r="J32" s="8">
        <f t="shared" si="2"/>
        <v>336.59558507176195</v>
      </c>
      <c r="K32" s="7">
        <f t="shared" si="2"/>
        <v>0</v>
      </c>
      <c r="L32" s="7">
        <f t="shared" si="2"/>
        <v>0</v>
      </c>
      <c r="M32" s="7">
        <f t="shared" si="2"/>
        <v>2192.132006574956</v>
      </c>
      <c r="N32" s="18"/>
      <c r="O32" s="7" t="s">
        <v>59</v>
      </c>
      <c r="P32" s="8">
        <f>(B32*1000)/SUM('Population Figures'!$T34:$V34)</f>
        <v>634.46025083012103</v>
      </c>
      <c r="Q32" s="280">
        <f>(C32*1000)/SUM('Population Figures'!$T34:$V34)</f>
        <v>2.928813614139083</v>
      </c>
      <c r="R32" s="8">
        <f>(D32*1000)/SUM('Population Figures'!$T34)</f>
        <v>0</v>
      </c>
      <c r="S32" s="8">
        <f>(E32*1000)/SUM('Population Figures'!$T34)</f>
        <v>614.32738526347941</v>
      </c>
      <c r="T32" s="7">
        <f>(F32*1000)/SUM('Population Figures'!$V34)</f>
        <v>1759.6453292232811</v>
      </c>
      <c r="U32" s="8">
        <f>(G32*1000)/SUM('Population Figures'!$U34)</f>
        <v>55.08392333815123</v>
      </c>
      <c r="V32" s="8">
        <f>(H32*1000)/SUM('Population Figures'!$U34)</f>
        <v>181.09543636761953</v>
      </c>
      <c r="W32" s="8">
        <f>(I32*1000)/SUM('Population Figures'!$U34)</f>
        <v>42.968178479847971</v>
      </c>
      <c r="X32" s="185">
        <f>(J32*1000)/SUM('Population Figures'!$U34)</f>
        <v>6.1355374602946027</v>
      </c>
      <c r="Y32" s="186">
        <f>(K32*1000)/SUM('Population Figures'!$U34)</f>
        <v>0</v>
      </c>
      <c r="Z32" s="186">
        <f>(L32*1000)/SUM('Population Figures'!$U34)</f>
        <v>0</v>
      </c>
      <c r="AA32" s="186">
        <f>(M32*1000)/SUM('Population Figures'!$R34)</f>
        <v>40.148937849358163</v>
      </c>
      <c r="AC32" s="18"/>
      <c r="AD32" s="121"/>
    </row>
    <row r="33" spans="1:30">
      <c r="A33" s="7" t="s">
        <v>60</v>
      </c>
      <c r="B33" s="8">
        <f t="shared" si="1"/>
        <v>80387.760157534183</v>
      </c>
      <c r="C33" s="7">
        <f t="shared" si="2"/>
        <v>2236.8693944642405</v>
      </c>
      <c r="D33" s="8">
        <f t="shared" si="2"/>
        <v>44.737387889284811</v>
      </c>
      <c r="E33" s="8">
        <f t="shared" si="2"/>
        <v>16388.796430108003</v>
      </c>
      <c r="F33" s="7">
        <f t="shared" si="2"/>
        <v>33305.920107670419</v>
      </c>
      <c r="G33" s="8">
        <f t="shared" si="2"/>
        <v>6626.4592871247814</v>
      </c>
      <c r="H33" s="8">
        <f t="shared" si="2"/>
        <v>13681.119286904146</v>
      </c>
      <c r="I33" s="8">
        <f t="shared" si="2"/>
        <v>5770.0578618156151</v>
      </c>
      <c r="J33" s="8">
        <f t="shared" si="2"/>
        <v>2231.5435149536115</v>
      </c>
      <c r="K33" s="7">
        <f t="shared" si="2"/>
        <v>38.346332476529838</v>
      </c>
      <c r="L33" s="7">
        <f t="shared" si="2"/>
        <v>52.193619204165614</v>
      </c>
      <c r="M33" s="7">
        <f t="shared" si="2"/>
        <v>11.716934923384118</v>
      </c>
      <c r="N33" s="18"/>
      <c r="O33" s="7" t="s">
        <v>60</v>
      </c>
      <c r="P33" s="8">
        <f>(B33*1000)/SUM('Population Figures'!$T35:$V35)</f>
        <v>884.15926262136145</v>
      </c>
      <c r="Q33" s="280">
        <f>(C33*1000)/SUM('Population Figures'!$T35:$V35)</f>
        <v>24.602611025783549</v>
      </c>
      <c r="R33" s="8">
        <f>(D33*1000)/SUM('Population Figures'!$T35)</f>
        <v>2.3887968757627513</v>
      </c>
      <c r="S33" s="8">
        <f>(E33*1000)/SUM('Population Figures'!$T35)</f>
        <v>875.09592215442137</v>
      </c>
      <c r="T33" s="7">
        <f>(F33*1000)/SUM('Population Figures'!$V35)</f>
        <v>2253.7501764562471</v>
      </c>
      <c r="U33" s="8">
        <f>(G33*1000)/SUM('Population Figures'!$U35)</f>
        <v>115.41539149205389</v>
      </c>
      <c r="V33" s="8">
        <f>(H33*1000)/SUM('Population Figures'!$U35)</f>
        <v>238.28890665872692</v>
      </c>
      <c r="W33" s="8">
        <f>(I33*1000)/SUM('Population Figures'!$U35)</f>
        <v>100.4991441428156</v>
      </c>
      <c r="X33" s="185">
        <f>(J33*1000)/SUM('Population Figures'!$U35)</f>
        <v>38.867584821709187</v>
      </c>
      <c r="Y33" s="186">
        <f>(K33*1000)/SUM('Population Figures'!$U35)</f>
        <v>0.66789167235395264</v>
      </c>
      <c r="Z33" s="186">
        <f>(L33*1000)/SUM('Population Figures'!$U35)</f>
        <v>0.9090747762595468</v>
      </c>
      <c r="AA33" s="186">
        <f>(M33*1000)/SUM('Population Figures'!$R35)</f>
        <v>0.20378695776026365</v>
      </c>
      <c r="AC33" s="18"/>
      <c r="AD33" s="121"/>
    </row>
    <row r="34" spans="1:30">
      <c r="A34" s="7" t="s">
        <v>61</v>
      </c>
      <c r="B34" s="8">
        <f t="shared" si="1"/>
        <v>89393.82241000807</v>
      </c>
      <c r="C34" s="7">
        <f t="shared" si="2"/>
        <v>3468.212737321699</v>
      </c>
      <c r="D34" s="8">
        <f t="shared" si="2"/>
        <v>101.19171070195375</v>
      </c>
      <c r="E34" s="8">
        <f t="shared" si="2"/>
        <v>20709.149889130367</v>
      </c>
      <c r="F34" s="7">
        <f t="shared" si="2"/>
        <v>35293.538341037216</v>
      </c>
      <c r="G34" s="8">
        <f t="shared" si="2"/>
        <v>5503.7638862841577</v>
      </c>
      <c r="H34" s="8">
        <f t="shared" si="2"/>
        <v>14779.315641995876</v>
      </c>
      <c r="I34" s="8">
        <f t="shared" si="2"/>
        <v>4579.1912032389382</v>
      </c>
      <c r="J34" s="8">
        <f t="shared" si="2"/>
        <v>2217.6962282259756</v>
      </c>
      <c r="K34" s="7">
        <f t="shared" si="2"/>
        <v>9.5865831191324595</v>
      </c>
      <c r="L34" s="7">
        <f t="shared" si="2"/>
        <v>0</v>
      </c>
      <c r="M34" s="7">
        <f t="shared" si="2"/>
        <v>2732.1761889527511</v>
      </c>
      <c r="N34" s="18"/>
      <c r="O34" s="7" t="s">
        <v>61</v>
      </c>
      <c r="P34" s="8">
        <f>(B34*1000)/SUM('Population Figures'!$T36:$V36)</f>
        <v>522.6486342961183</v>
      </c>
      <c r="Q34" s="280">
        <f>(C34*1000)/SUM('Population Figures'!$T36:$V36)</f>
        <v>20.277202626997774</v>
      </c>
      <c r="R34" s="8">
        <f>(D34*1000)/SUM('Population Figures'!$T36)</f>
        <v>2.5633729532362386</v>
      </c>
      <c r="S34" s="8">
        <f>(E34*1000)/SUM('Population Figures'!$T36)</f>
        <v>524.60102059809424</v>
      </c>
      <c r="T34" s="7">
        <f>(F34*1000)/SUM('Population Figures'!$V36)</f>
        <v>1551.705356827312</v>
      </c>
      <c r="U34" s="8">
        <f>(G34*1000)/SUM('Population Figures'!$U36)</f>
        <v>50.577232710134787</v>
      </c>
      <c r="V34" s="8">
        <f>(H34*1000)/SUM('Population Figures'!$U36)</f>
        <v>135.8155803857403</v>
      </c>
      <c r="W34" s="8">
        <f>(I34*1000)/SUM('Population Figures'!$U36)</f>
        <v>42.080805771408833</v>
      </c>
      <c r="X34" s="185">
        <f>(J34*1000)/SUM('Population Figures'!$U36)</f>
        <v>20.379678440584602</v>
      </c>
      <c r="Y34" s="186">
        <f>(K34*1000)/SUM('Population Figures'!$U36)</f>
        <v>8.8096592682642361E-2</v>
      </c>
      <c r="Z34" s="186">
        <f>(L34*1000)/SUM('Population Figures'!$U36)</f>
        <v>0</v>
      </c>
      <c r="AA34" s="186">
        <f>(M34*1000)/SUM('Population Figures'!$R36)</f>
        <v>25.299333193999214</v>
      </c>
      <c r="AC34" s="18"/>
      <c r="AD34" s="121"/>
    </row>
    <row r="35" spans="1:30">
      <c r="A35" s="52" t="s">
        <v>5</v>
      </c>
      <c r="B35" s="53">
        <f t="shared" si="1"/>
        <v>3791310.4133617221</v>
      </c>
      <c r="C35" s="52">
        <f t="shared" si="2"/>
        <v>35870.863679989416</v>
      </c>
      <c r="D35" s="53">
        <f t="shared" si="2"/>
        <v>3008.0567476033407</v>
      </c>
      <c r="E35" s="53">
        <f t="shared" si="2"/>
        <v>815917.28479707008</v>
      </c>
      <c r="F35" s="52">
        <f t="shared" si="2"/>
        <v>1701830.4736505346</v>
      </c>
      <c r="G35" s="53">
        <f t="shared" si="2"/>
        <v>223476.03461780315</v>
      </c>
      <c r="H35" s="53">
        <f t="shared" si="2"/>
        <v>673361.59828786401</v>
      </c>
      <c r="I35" s="53">
        <f t="shared" si="2"/>
        <v>160159.84864363965</v>
      </c>
      <c r="J35" s="53">
        <f t="shared" si="2"/>
        <v>56932.586792723429</v>
      </c>
      <c r="K35" s="52">
        <f t="shared" si="2"/>
        <v>1960.9888358136511</v>
      </c>
      <c r="L35" s="52">
        <f t="shared" si="2"/>
        <v>3167.8331329222151</v>
      </c>
      <c r="M35" s="52">
        <f t="shared" si="2"/>
        <v>115624.84417575873</v>
      </c>
      <c r="N35" s="18"/>
      <c r="O35" s="52" t="s">
        <v>5</v>
      </c>
      <c r="P35" s="53">
        <f>(B35*1000)/SUM('Population Figures'!$T37:$V37)</f>
        <v>729.94039533340811</v>
      </c>
      <c r="Q35" s="52">
        <f>(C35*1000)/SUM('Population Figures'!$T37:$V37)</f>
        <v>6.90621172121475</v>
      </c>
      <c r="R35" s="53">
        <f>(D35*1000)/SUM('Population Figures'!$T37)</f>
        <v>2.8864034993176015</v>
      </c>
      <c r="S35" s="53">
        <f>(E35*1000)/SUM('Population Figures'!$T37)</f>
        <v>782.91957353144039</v>
      </c>
      <c r="T35" s="52">
        <f>(F35*1000)/SUM('Population Figures'!$V37)</f>
        <v>1959.4783648936741</v>
      </c>
      <c r="U35" s="53">
        <f>(G35*1000)/SUM('Population Figures'!$U37)</f>
        <v>68.063607958418928</v>
      </c>
      <c r="V35" s="53">
        <f>(H35*1000)/SUM('Population Figures'!$U37)</f>
        <v>205.08427187059277</v>
      </c>
      <c r="W35" s="53">
        <f>(I35*1000)/SUM('Population Figures'!$U37)</f>
        <v>48.779535431634926</v>
      </c>
      <c r="X35" s="445">
        <f>(J35*1000)/SUM('Population Figures'!$U37)</f>
        <v>17.339833661116355</v>
      </c>
      <c r="Y35" s="446">
        <f>(K35*1000)/SUM('Population Figures'!$U37)</f>
        <v>0.59725408838547411</v>
      </c>
      <c r="Z35" s="446">
        <f>(L35*1000)/SUM('Population Figures'!$U37)</f>
        <v>0.96482002110722431</v>
      </c>
      <c r="AA35" s="446">
        <f>(M35*1000)/SUM('Population Figures'!$R37)</f>
        <v>35.399724019784905</v>
      </c>
      <c r="AC35" s="18"/>
      <c r="AD35" s="121"/>
    </row>
    <row r="37" spans="1:30" ht="13.5" thickBot="1"/>
    <row r="38" spans="1:30">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30"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0">
        <f>Deflators!$K$2/Deflators!G2</f>
        <v>1.0903639628245232</v>
      </c>
      <c r="H39" s="561">
        <f>Deflators!$K$2/Deflators!H2</f>
        <v>1.0651759021258289</v>
      </c>
      <c r="I39" s="565">
        <f>Deflators!$K$2/Deflators!I2</f>
        <v>1.0341337503213095</v>
      </c>
      <c r="J39" s="565">
        <f>Deflators!$K$2/Deflators!J2</f>
        <v>1.0183193064607987</v>
      </c>
      <c r="K39" s="563">
        <f>Deflators!$K$2/Deflators!K2</f>
        <v>1</v>
      </c>
      <c r="N39" s="233"/>
      <c r="S39" s="11"/>
      <c r="V39" s="11"/>
      <c r="W39" s="11"/>
      <c r="X39" s="149"/>
    </row>
    <row r="40" spans="1:30">
      <c r="N40" s="233"/>
      <c r="S40" s="11"/>
      <c r="V40" s="11"/>
      <c r="W40" s="11"/>
      <c r="X40" s="149"/>
    </row>
    <row r="41" spans="1:30">
      <c r="N41" s="233"/>
      <c r="U41" s="11"/>
    </row>
    <row r="42" spans="1:30">
      <c r="N42" s="233"/>
      <c r="U42" s="11"/>
    </row>
    <row r="43" spans="1:30">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30" ht="63.75">
      <c r="A44" s="21" t="s">
        <v>26</v>
      </c>
      <c r="B44" s="10" t="s">
        <v>9</v>
      </c>
      <c r="C44" s="9" t="s">
        <v>10</v>
      </c>
      <c r="D44" s="10" t="s">
        <v>11</v>
      </c>
      <c r="E44" s="10" t="s">
        <v>12</v>
      </c>
      <c r="F44" s="9" t="s">
        <v>14</v>
      </c>
      <c r="G44" s="10" t="s">
        <v>15</v>
      </c>
      <c r="H44" s="10" t="s">
        <v>16</v>
      </c>
      <c r="I44" s="10" t="s">
        <v>17</v>
      </c>
      <c r="J44" s="186" t="s">
        <v>351</v>
      </c>
      <c r="K44" s="18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30">
      <c r="A45" s="7" t="s">
        <v>31</v>
      </c>
      <c r="B45" s="425">
        <v>150000</v>
      </c>
      <c r="C45" s="280">
        <v>688</v>
      </c>
      <c r="D45" s="425">
        <v>0</v>
      </c>
      <c r="E45" s="425">
        <v>35244</v>
      </c>
      <c r="F45" s="280">
        <v>60229</v>
      </c>
      <c r="G45" s="425">
        <v>9773</v>
      </c>
      <c r="H45" s="425">
        <v>27975</v>
      </c>
      <c r="I45" s="425">
        <v>8736</v>
      </c>
      <c r="J45" s="425">
        <v>2236</v>
      </c>
      <c r="K45" s="280">
        <v>0</v>
      </c>
      <c r="L45" s="280">
        <v>0</v>
      </c>
      <c r="M45" s="280">
        <v>5119</v>
      </c>
      <c r="N45" s="233"/>
      <c r="O45" s="7" t="s">
        <v>31</v>
      </c>
      <c r="P45" s="425">
        <f>(B45*1000)/SUM('Population Figures'!$T5:$V5)</f>
        <v>701.55745755577379</v>
      </c>
      <c r="Q45" s="280">
        <f>(C45/SUM('Population Figures'!T5:V5))*1000</f>
        <v>3.2178102053224826</v>
      </c>
      <c r="R45" s="425">
        <f>(D45/'Population Figures'!T5)*1000</f>
        <v>0</v>
      </c>
      <c r="S45" s="425">
        <f>(E45/'Population Figures'!T5)*1000</f>
        <v>926.66894538953011</v>
      </c>
      <c r="T45" s="280">
        <f>(F45/'Population Figures'!V5)*1000</f>
        <v>1870.8725499332152</v>
      </c>
      <c r="U45" s="425">
        <f>(G45/'Population Figures'!U5)*1000</f>
        <v>68.064686873189217</v>
      </c>
      <c r="V45" s="425">
        <f>(H45/'Population Figures'!U5)*1000</f>
        <v>194.83368620459103</v>
      </c>
      <c r="W45" s="425">
        <f>(I45/'Population Figures'!U5)*1000</f>
        <v>60.842433697347893</v>
      </c>
      <c r="X45" s="500">
        <f>(J45/'Population Figures'!U5)*1000</f>
        <v>15.572765767773568</v>
      </c>
      <c r="Y45" s="186">
        <f>(K45/'Population Figures'!U5)*1000</f>
        <v>0</v>
      </c>
      <c r="Z45" s="186">
        <f>(L45/'Population Figures'!U5)*1000</f>
        <v>0</v>
      </c>
      <c r="AA45" s="501">
        <f>(M45/'Population Figures'!U5)*1000</f>
        <v>35.651604635613992</v>
      </c>
    </row>
    <row r="46" spans="1:30">
      <c r="A46" s="7" t="s">
        <v>32</v>
      </c>
      <c r="B46" s="425">
        <v>157657</v>
      </c>
      <c r="C46" s="280">
        <v>1188</v>
      </c>
      <c r="D46" s="425">
        <v>95</v>
      </c>
      <c r="E46" s="425">
        <v>29779</v>
      </c>
      <c r="F46" s="280">
        <v>64965</v>
      </c>
      <c r="G46" s="425">
        <v>7872</v>
      </c>
      <c r="H46" s="425">
        <v>41914</v>
      </c>
      <c r="I46" s="425">
        <v>5615</v>
      </c>
      <c r="J46" s="425">
        <v>2841</v>
      </c>
      <c r="K46" s="280">
        <v>0</v>
      </c>
      <c r="L46" s="280">
        <v>0</v>
      </c>
      <c r="M46" s="280">
        <v>3388</v>
      </c>
      <c r="N46" s="233"/>
      <c r="O46" s="7" t="s">
        <v>32</v>
      </c>
      <c r="P46" s="425">
        <f>(B46*1000)/SUM('Population Figures'!$T6:$V6)</f>
        <v>647.43542359656692</v>
      </c>
      <c r="Q46" s="280">
        <f>(C46/SUM('Population Figures'!T6:V6))*1000</f>
        <v>4.878649747443637</v>
      </c>
      <c r="R46" s="425">
        <f>(D46/'Population Figures'!T6)*1000</f>
        <v>1.7985611510791368</v>
      </c>
      <c r="S46" s="425">
        <f>(E46/'Population Figures'!T6)*1000</f>
        <v>563.78265808405899</v>
      </c>
      <c r="T46" s="280">
        <f>(F46/'Population Figures'!V6)*1000</f>
        <v>1657.5241108332907</v>
      </c>
      <c r="U46" s="425">
        <f>(G46/'Population Figures'!U6)*1000</f>
        <v>51.96176796747109</v>
      </c>
      <c r="V46" s="425">
        <f>(H46/'Population Figures'!U6)*1000</f>
        <v>276.66737075566351</v>
      </c>
      <c r="W46" s="425">
        <f>(I46/'Population Figures'!U6)*1000</f>
        <v>37.063684849765011</v>
      </c>
      <c r="X46" s="500">
        <f>(J46/'Population Figures'!U6)*1000</f>
        <v>18.752970375455458</v>
      </c>
      <c r="Y46" s="186">
        <f>(K46/'Population Figures'!U6)*1000</f>
        <v>0</v>
      </c>
      <c r="Z46" s="186">
        <f>(L46/'Population Figures'!U6)*1000</f>
        <v>0</v>
      </c>
      <c r="AA46" s="501">
        <f>(M46/'Population Figures'!U6)*1000</f>
        <v>22.363626762422772</v>
      </c>
    </row>
    <row r="47" spans="1:30">
      <c r="A47" s="7" t="s">
        <v>33</v>
      </c>
      <c r="B47" s="425">
        <v>73084</v>
      </c>
      <c r="C47" s="280">
        <v>308</v>
      </c>
      <c r="D47" s="425">
        <v>149</v>
      </c>
      <c r="E47" s="425">
        <v>14986</v>
      </c>
      <c r="F47" s="280">
        <v>39438</v>
      </c>
      <c r="G47" s="425">
        <v>3415</v>
      </c>
      <c r="H47" s="425">
        <v>10219</v>
      </c>
      <c r="I47" s="425">
        <v>2381</v>
      </c>
      <c r="J47" s="425">
        <v>579</v>
      </c>
      <c r="K47" s="280">
        <v>0</v>
      </c>
      <c r="L47" s="280">
        <v>0</v>
      </c>
      <c r="M47" s="280">
        <v>1609</v>
      </c>
      <c r="N47" s="233"/>
      <c r="O47" s="7" t="s">
        <v>33</v>
      </c>
      <c r="P47" s="425">
        <f>(B47*1000)/SUM('Population Figures'!$T7:$V7)</f>
        <v>662.8934240362812</v>
      </c>
      <c r="Q47" s="280">
        <f>(C47/SUM('Population Figures'!T7:V7))*1000</f>
        <v>2.7936507936507935</v>
      </c>
      <c r="R47" s="425">
        <f>(D47/'Population Figures'!T7)*1000</f>
        <v>6.6476309449451234</v>
      </c>
      <c r="S47" s="425">
        <f>(E47/'Population Figures'!T7)*1000</f>
        <v>668.59998215401083</v>
      </c>
      <c r="T47" s="280">
        <f>(F47/'Population Figures'!V7)*1000</f>
        <v>1796.7198177676537</v>
      </c>
      <c r="U47" s="425">
        <f>(G47/'Population Figures'!U7)*1000</f>
        <v>51.83195215979115</v>
      </c>
      <c r="V47" s="425">
        <f>(H47/'Population Figures'!U7)*1000</f>
        <v>155.10123546732234</v>
      </c>
      <c r="W47" s="425">
        <f>(I47/'Population Figures'!U7)*1000</f>
        <v>36.138178065142824</v>
      </c>
      <c r="X47" s="500">
        <f>(J47/'Population Figures'!U7)*1000</f>
        <v>8.7879063837537554</v>
      </c>
      <c r="Y47" s="186">
        <f>(K47/'Population Figures'!U7)*1000</f>
        <v>0</v>
      </c>
      <c r="Z47" s="186">
        <f>(L47/'Population Figures'!U7)*1000</f>
        <v>0</v>
      </c>
      <c r="AA47" s="501">
        <f>(M47/'Population Figures'!U7)*1000</f>
        <v>24.420969553471149</v>
      </c>
    </row>
    <row r="48" spans="1:30">
      <c r="A48" s="7" t="s">
        <v>34</v>
      </c>
      <c r="B48" s="425">
        <v>56681</v>
      </c>
      <c r="C48" s="280">
        <v>1525</v>
      </c>
      <c r="D48" s="425">
        <v>71</v>
      </c>
      <c r="E48" s="425">
        <v>11377</v>
      </c>
      <c r="F48" s="280">
        <v>29822</v>
      </c>
      <c r="G48" s="425">
        <v>902</v>
      </c>
      <c r="H48" s="425">
        <v>10667</v>
      </c>
      <c r="I48" s="425">
        <v>2033</v>
      </c>
      <c r="J48" s="425">
        <v>309</v>
      </c>
      <c r="K48" s="280">
        <v>0</v>
      </c>
      <c r="L48" s="280">
        <v>0</v>
      </c>
      <c r="M48" s="280">
        <v>-25</v>
      </c>
      <c r="N48" s="233"/>
      <c r="O48" s="7" t="s">
        <v>34</v>
      </c>
      <c r="P48" s="425">
        <f>(B48*1000)/SUM('Population Figures'!$T8:$V8)</f>
        <v>629.50910706352727</v>
      </c>
      <c r="Q48" s="280">
        <f>(C48/SUM('Population Figures'!T8:V8))*1000</f>
        <v>16.936916925810749</v>
      </c>
      <c r="R48" s="425">
        <f>(D48/'Population Figures'!T8)*1000</f>
        <v>4.2014320373986633</v>
      </c>
      <c r="S48" s="425">
        <f>(E48/'Population Figures'!T8)*1000</f>
        <v>673.23510266879691</v>
      </c>
      <c r="T48" s="280">
        <f>(F48/'Population Figures'!V8)*1000</f>
        <v>1565.1306812217906</v>
      </c>
      <c r="U48" s="425">
        <f>(G48/'Population Figures'!U8)*1000</f>
        <v>16.676835468781778</v>
      </c>
      <c r="V48" s="425">
        <f>(H48/'Population Figures'!U8)*1000</f>
        <v>197.21929483979514</v>
      </c>
      <c r="W48" s="425">
        <f>(I48/'Population Figures'!U8)*1000</f>
        <v>37.587590363673336</v>
      </c>
      <c r="X48" s="500">
        <f>(J48/'Population Figures'!U8)*1000</f>
        <v>5.713017915580453</v>
      </c>
      <c r="Y48" s="186">
        <f>(K48/'Population Figures'!U8)*1000</f>
        <v>0</v>
      </c>
      <c r="Z48" s="186">
        <f>(L48/'Population Figures'!U8)*1000</f>
        <v>0</v>
      </c>
      <c r="AA48" s="501">
        <f>(M48/'Population Figures'!U8)*1000</f>
        <v>-0.46221827795958365</v>
      </c>
    </row>
    <row r="49" spans="1:27">
      <c r="A49" s="7" t="s">
        <v>35</v>
      </c>
      <c r="B49" s="425">
        <v>35121</v>
      </c>
      <c r="C49" s="280">
        <v>124</v>
      </c>
      <c r="D49" s="425">
        <v>48</v>
      </c>
      <c r="E49" s="425">
        <v>9406</v>
      </c>
      <c r="F49" s="280">
        <v>14444</v>
      </c>
      <c r="G49" s="425">
        <v>3064</v>
      </c>
      <c r="H49" s="425">
        <v>4219</v>
      </c>
      <c r="I49" s="425">
        <v>2020</v>
      </c>
      <c r="J49" s="425">
        <v>213</v>
      </c>
      <c r="K49" s="280">
        <v>0</v>
      </c>
      <c r="L49" s="280">
        <v>0</v>
      </c>
      <c r="M49" s="280">
        <v>1583</v>
      </c>
      <c r="N49" s="233"/>
      <c r="O49" s="7" t="s">
        <v>35</v>
      </c>
      <c r="P49" s="425">
        <f>(B49*1000)/SUM('Population Figures'!$T9:$V9)</f>
        <v>694.91491887613768</v>
      </c>
      <c r="Q49" s="280">
        <f>(C49/SUM('Population Figures'!T9:V9))*1000</f>
        <v>2.453502176493866</v>
      </c>
      <c r="R49" s="425">
        <f>(D49/'Population Figures'!T9)*1000</f>
        <v>4.3911810447351565</v>
      </c>
      <c r="S49" s="425">
        <f>(E49/'Population Figures'!T9)*1000</f>
        <v>860.48851889122682</v>
      </c>
      <c r="T49" s="280">
        <f>(F49/'Population Figures'!V9)*1000</f>
        <v>1834.3916687833375</v>
      </c>
      <c r="U49" s="425">
        <f>(G49/'Population Figures'!U9)*1000</f>
        <v>96.549550968961711</v>
      </c>
      <c r="V49" s="425">
        <f>(H49/'Population Figures'!U9)*1000</f>
        <v>132.94469828265323</v>
      </c>
      <c r="W49" s="425">
        <f>(I49/'Population Figures'!U9)*1000</f>
        <v>63.652119111391208</v>
      </c>
      <c r="X49" s="500">
        <f>(J49/'Population Figures'!U9)*1000</f>
        <v>6.7118323617457065</v>
      </c>
      <c r="Y49" s="186">
        <f>(K49/'Population Figures'!U9)*1000</f>
        <v>0</v>
      </c>
      <c r="Z49" s="186">
        <f>(L49/'Population Figures'!U9)*1000</f>
        <v>0</v>
      </c>
      <c r="AA49" s="501">
        <f>(M49/'Population Figures'!U9)*1000</f>
        <v>49.881833937293209</v>
      </c>
    </row>
    <row r="50" spans="1:27">
      <c r="A50" s="7" t="s">
        <v>36</v>
      </c>
      <c r="B50" s="425">
        <v>103294</v>
      </c>
      <c r="C50" s="280">
        <v>3909</v>
      </c>
      <c r="D50" s="425">
        <v>107</v>
      </c>
      <c r="E50" s="425">
        <v>20488</v>
      </c>
      <c r="F50" s="280">
        <v>49109</v>
      </c>
      <c r="G50" s="425">
        <v>6434</v>
      </c>
      <c r="H50" s="425">
        <v>15423</v>
      </c>
      <c r="I50" s="425">
        <v>3727</v>
      </c>
      <c r="J50" s="425">
        <v>446</v>
      </c>
      <c r="K50" s="280">
        <v>0</v>
      </c>
      <c r="L50" s="280">
        <v>0</v>
      </c>
      <c r="M50" s="280">
        <v>3651</v>
      </c>
      <c r="N50" s="233"/>
      <c r="O50" s="7" t="s">
        <v>36</v>
      </c>
      <c r="P50" s="425">
        <f>(B50*1000)/SUM('Population Figures'!$T10:$V10)</f>
        <v>695.53565416470269</v>
      </c>
      <c r="Q50" s="280">
        <f>(C50/SUM('Population Figures'!T10:V10))*1000</f>
        <v>26.321459834354588</v>
      </c>
      <c r="R50" s="425">
        <f>(D50/'Population Figures'!T10)*1000</f>
        <v>3.7467609776594997</v>
      </c>
      <c r="S50" s="425">
        <f>(E50/'Population Figures'!T10)*1000</f>
        <v>717.41718607745645</v>
      </c>
      <c r="T50" s="280">
        <f>(F50/'Population Figures'!V10)*1000</f>
        <v>1516.1310240498904</v>
      </c>
      <c r="U50" s="425">
        <f>(G50/'Population Figures'!U10)*1000</f>
        <v>73.480202373202687</v>
      </c>
      <c r="V50" s="425">
        <f>(H50/'Population Figures'!U10)*1000</f>
        <v>176.1400623565286</v>
      </c>
      <c r="W50" s="425">
        <f>(I50/'Population Figures'!U10)*1000</f>
        <v>42.564612098993841</v>
      </c>
      <c r="X50" s="500">
        <f>(J50/'Population Figures'!U10)*1000</f>
        <v>5.093591895935405</v>
      </c>
      <c r="Y50" s="186">
        <f>(K50/'Population Figures'!U10)*1000</f>
        <v>0</v>
      </c>
      <c r="Z50" s="186">
        <f>(L50/'Population Figures'!U10)*1000</f>
        <v>0</v>
      </c>
      <c r="AA50" s="501">
        <f>(M50/'Population Figures'!U10)*1000</f>
        <v>41.696645766951043</v>
      </c>
    </row>
    <row r="51" spans="1:27">
      <c r="A51" s="7" t="s">
        <v>37</v>
      </c>
      <c r="B51" s="425">
        <v>109759</v>
      </c>
      <c r="C51" s="280">
        <v>934</v>
      </c>
      <c r="D51" s="425">
        <v>266</v>
      </c>
      <c r="E51" s="425">
        <v>28680</v>
      </c>
      <c r="F51" s="280">
        <v>47095</v>
      </c>
      <c r="G51" s="425">
        <v>7214</v>
      </c>
      <c r="H51" s="425">
        <v>15789</v>
      </c>
      <c r="I51" s="425">
        <v>3347</v>
      </c>
      <c r="J51" s="425">
        <v>920</v>
      </c>
      <c r="K51" s="280">
        <v>245</v>
      </c>
      <c r="L51" s="280">
        <v>0</v>
      </c>
      <c r="M51" s="280">
        <v>5269</v>
      </c>
      <c r="N51" s="233"/>
      <c r="O51" s="7" t="s">
        <v>37</v>
      </c>
      <c r="P51" s="425">
        <f>(B51*1000)/SUM('Population Figures'!$T11:$V11)</f>
        <v>765.45784224841339</v>
      </c>
      <c r="Q51" s="280">
        <f>(C51/SUM('Population Figures'!T11:V11))*1000</f>
        <v>6.5137038845107744</v>
      </c>
      <c r="R51" s="425">
        <f>(D51/'Population Figures'!T11)*1000</f>
        <v>9.7596771234635842</v>
      </c>
      <c r="S51" s="425">
        <f>(E51/'Population Figures'!T11)*1000</f>
        <v>1052.2839845899834</v>
      </c>
      <c r="T51" s="280">
        <f>(F51/'Population Figures'!V11)*1000</f>
        <v>1839.7921712633799</v>
      </c>
      <c r="U51" s="425">
        <f>(G51/'Population Figures'!U11)*1000</f>
        <v>79.680130775263152</v>
      </c>
      <c r="V51" s="425">
        <f>(H51/'Population Figures'!U11)*1000</f>
        <v>174.39278968819377</v>
      </c>
      <c r="W51" s="425">
        <f>(I51/'Population Figures'!U11)*1000</f>
        <v>36.968311298143298</v>
      </c>
      <c r="X51" s="500">
        <f>(J51/'Population Figures'!U11)*1000</f>
        <v>10.161591393573898</v>
      </c>
      <c r="Y51" s="186">
        <f>(K51/'Population Figures'!U11)*1000</f>
        <v>2.7060759689408749</v>
      </c>
      <c r="Z51" s="186">
        <f>(L51/'Population Figures'!U11)*1000</f>
        <v>0</v>
      </c>
      <c r="AA51" s="501">
        <f>(M51/'Population Figures'!U11)*1000</f>
        <v>58.197201144283554</v>
      </c>
    </row>
    <row r="52" spans="1:27">
      <c r="A52" s="7" t="s">
        <v>38</v>
      </c>
      <c r="B52" s="425">
        <v>80340</v>
      </c>
      <c r="C52" s="280">
        <v>365</v>
      </c>
      <c r="D52" s="425">
        <v>91</v>
      </c>
      <c r="E52" s="425">
        <v>18688</v>
      </c>
      <c r="F52" s="280">
        <v>39795</v>
      </c>
      <c r="G52" s="425">
        <v>4073</v>
      </c>
      <c r="H52" s="425">
        <v>12010</v>
      </c>
      <c r="I52" s="425">
        <v>2640</v>
      </c>
      <c r="J52" s="425">
        <v>306</v>
      </c>
      <c r="K52" s="280">
        <v>0</v>
      </c>
      <c r="L52" s="280">
        <v>0</v>
      </c>
      <c r="M52" s="280">
        <v>2372</v>
      </c>
      <c r="N52" s="233"/>
      <c r="O52" s="7" t="s">
        <v>38</v>
      </c>
      <c r="P52" s="425">
        <f>(B52*1000)/SUM('Population Figures'!$T12:$V12)</f>
        <v>668.33042176191668</v>
      </c>
      <c r="Q52" s="280">
        <f>(C52/SUM('Population Figures'!T12:V12))*1000</f>
        <v>3.036353048831212</v>
      </c>
      <c r="R52" s="425">
        <f>(D52/'Population Figures'!T12)*1000</f>
        <v>3.6964822487610691</v>
      </c>
      <c r="S52" s="425">
        <f>(E52/'Population Figures'!T12)*1000</f>
        <v>759.11934356974575</v>
      </c>
      <c r="T52" s="280">
        <f>(F52/'Population Figures'!V12)*1000</f>
        <v>1915.9845931632162</v>
      </c>
      <c r="U52" s="425">
        <f>(G52/'Population Figures'!U12)*1000</f>
        <v>54.435861110368606</v>
      </c>
      <c r="V52" s="425">
        <f>(H52/'Population Figures'!U12)*1000</f>
        <v>160.51428724172035</v>
      </c>
      <c r="W52" s="425">
        <f>(I52/'Population Figures'!U12)*1000</f>
        <v>35.283740076448105</v>
      </c>
      <c r="X52" s="500">
        <f>(J52/'Population Figures'!U12)*1000</f>
        <v>4.0897062361337575</v>
      </c>
      <c r="Y52" s="186">
        <f>(K52/'Population Figures'!U12)*1000</f>
        <v>0</v>
      </c>
      <c r="Z52" s="186">
        <f>(L52/'Population Figures'!U12)*1000</f>
        <v>0</v>
      </c>
      <c r="AA52" s="501">
        <f>(M52/'Population Figures'!U12)*1000</f>
        <v>31.701905856566253</v>
      </c>
    </row>
    <row r="53" spans="1:27">
      <c r="A53" s="7" t="s">
        <v>39</v>
      </c>
      <c r="B53" s="425">
        <v>54054</v>
      </c>
      <c r="C53" s="280">
        <v>3565</v>
      </c>
      <c r="D53" s="425">
        <v>10</v>
      </c>
      <c r="E53" s="425">
        <v>10227</v>
      </c>
      <c r="F53" s="280">
        <v>23024</v>
      </c>
      <c r="G53" s="425">
        <v>3016</v>
      </c>
      <c r="H53" s="425">
        <v>10722</v>
      </c>
      <c r="I53" s="425">
        <v>2720</v>
      </c>
      <c r="J53" s="425">
        <v>589</v>
      </c>
      <c r="K53" s="280">
        <v>0</v>
      </c>
      <c r="L53" s="280">
        <v>0</v>
      </c>
      <c r="M53" s="280">
        <v>181</v>
      </c>
      <c r="N53" s="233"/>
      <c r="O53" s="7" t="s">
        <v>39</v>
      </c>
      <c r="P53" s="425">
        <f>(B53*1000)/SUM('Population Figures'!$T13:$V13)</f>
        <v>516.37371035536876</v>
      </c>
      <c r="Q53" s="280">
        <f>(C53/SUM('Population Figures'!T13:V13))*1000</f>
        <v>34.056171188383644</v>
      </c>
      <c r="R53" s="425">
        <f>(D53/'Population Figures'!T13)*1000</f>
        <v>0.45779161325764511</v>
      </c>
      <c r="S53" s="425">
        <f>(E53/'Population Figures'!T13)*1000</f>
        <v>468.18348287859368</v>
      </c>
      <c r="T53" s="280">
        <f>(F53/'Population Figures'!V13)*1000</f>
        <v>1185.337726523888</v>
      </c>
      <c r="U53" s="425">
        <f>(G53/'Population Figures'!U13)*1000</f>
        <v>47.561975651296287</v>
      </c>
      <c r="V53" s="425">
        <f>(H53/'Population Figures'!U13)*1000</f>
        <v>169.0847158266574</v>
      </c>
      <c r="W53" s="425">
        <f>(I53/'Population Figures'!U13)*1000</f>
        <v>42.894089446792407</v>
      </c>
      <c r="X53" s="500">
        <f>(J53/'Population Figures'!U13)*1000</f>
        <v>9.2884627515296803</v>
      </c>
      <c r="Y53" s="186">
        <f>(K53/'Population Figures'!U13)*1000</f>
        <v>0</v>
      </c>
      <c r="Z53" s="186">
        <f>(L53/'Population Figures'!U13)*1000</f>
        <v>0</v>
      </c>
      <c r="AA53" s="501">
        <f>(M53/'Population Figures'!U13)*1000</f>
        <v>2.8543493345108182</v>
      </c>
    </row>
    <row r="54" spans="1:27">
      <c r="A54" s="7" t="s">
        <v>40</v>
      </c>
      <c r="B54" s="425">
        <v>55209</v>
      </c>
      <c r="C54" s="280">
        <v>946</v>
      </c>
      <c r="D54" s="425">
        <v>34</v>
      </c>
      <c r="E54" s="425">
        <v>10824</v>
      </c>
      <c r="F54" s="280">
        <v>26413</v>
      </c>
      <c r="G54" s="425">
        <v>3802</v>
      </c>
      <c r="H54" s="425">
        <v>9574</v>
      </c>
      <c r="I54" s="425">
        <v>1467</v>
      </c>
      <c r="J54" s="425">
        <v>1125</v>
      </c>
      <c r="K54" s="280">
        <v>0</v>
      </c>
      <c r="L54" s="280">
        <v>0</v>
      </c>
      <c r="M54" s="280">
        <v>1024</v>
      </c>
      <c r="N54" s="233"/>
      <c r="O54" s="7" t="s">
        <v>40</v>
      </c>
      <c r="P54" s="425">
        <f>(B54*1000)/SUM('Population Figures'!$T14:$V14)</f>
        <v>570.16420530827224</v>
      </c>
      <c r="Q54" s="280">
        <f>(C54/SUM('Population Figures'!T14:V14))*1000</f>
        <v>9.7696994733037279</v>
      </c>
      <c r="R54" s="425">
        <f>(D54/'Population Figures'!T14)*1000</f>
        <v>1.5821312238250349</v>
      </c>
      <c r="S54" s="425">
        <f>(E54/'Population Figures'!T14)*1000</f>
        <v>503.67612843182872</v>
      </c>
      <c r="T54" s="280">
        <f>(F54/'Population Figures'!V14)*1000</f>
        <v>1529.6808941912318</v>
      </c>
      <c r="U54" s="425">
        <f>(G54/'Population Figures'!U14)*1000</f>
        <v>65.469323093348038</v>
      </c>
      <c r="V54" s="425">
        <f>(H54/'Population Figures'!U14)*1000</f>
        <v>164.86146746336507</v>
      </c>
      <c r="W54" s="425">
        <f>(I54/'Population Figures'!U14)*1000</f>
        <v>25.26130904206774</v>
      </c>
      <c r="X54" s="500">
        <f>(J54/'Population Figures'!U14)*1000</f>
        <v>19.372169510788147</v>
      </c>
      <c r="Y54" s="186">
        <f>(K54/'Population Figures'!U14)*1000</f>
        <v>0</v>
      </c>
      <c r="Z54" s="186">
        <f>(L54/'Population Figures'!U14)*1000</f>
        <v>0</v>
      </c>
      <c r="AA54" s="501">
        <f>(M54/'Population Figures'!U14)*1000</f>
        <v>17.632979181375166</v>
      </c>
    </row>
    <row r="55" spans="1:27">
      <c r="A55" s="7" t="s">
        <v>41</v>
      </c>
      <c r="B55" s="425">
        <v>47819</v>
      </c>
      <c r="C55" s="280">
        <v>1727</v>
      </c>
      <c r="D55" s="425">
        <v>0</v>
      </c>
      <c r="E55" s="425">
        <v>6613</v>
      </c>
      <c r="F55" s="280">
        <v>22394</v>
      </c>
      <c r="G55" s="425">
        <v>3102</v>
      </c>
      <c r="H55" s="425">
        <v>10028</v>
      </c>
      <c r="I55" s="425">
        <v>2023</v>
      </c>
      <c r="J55" s="425">
        <v>425</v>
      </c>
      <c r="K55" s="280">
        <v>0</v>
      </c>
      <c r="L55" s="280">
        <v>0</v>
      </c>
      <c r="M55" s="280">
        <v>1507</v>
      </c>
      <c r="N55" s="233"/>
      <c r="O55" s="7" t="s">
        <v>41</v>
      </c>
      <c r="P55" s="425">
        <f>(B55*1000)/SUM('Population Figures'!$T15:$V15)</f>
        <v>535.84715374271627</v>
      </c>
      <c r="Q55" s="280">
        <f>(C55/SUM('Population Figures'!T15:V15))*1000</f>
        <v>19.352308381891529</v>
      </c>
      <c r="R55" s="425">
        <f>(D55/'Population Figures'!T15)*1000</f>
        <v>0</v>
      </c>
      <c r="S55" s="425">
        <f>(E55/'Population Figures'!T15)*1000</f>
        <v>325.8277493102089</v>
      </c>
      <c r="T55" s="280">
        <f>(F55/'Population Figures'!V15)*1000</f>
        <v>1409.668890847287</v>
      </c>
      <c r="U55" s="425">
        <f>(G55/'Population Figures'!U15)*1000</f>
        <v>58.464322062648421</v>
      </c>
      <c r="V55" s="425">
        <f>(H55/'Population Figures'!U15)*1000</f>
        <v>189.00071619736892</v>
      </c>
      <c r="W55" s="425">
        <f>(I55/'Population Figures'!U15)*1000</f>
        <v>38.128086245241057</v>
      </c>
      <c r="X55" s="500">
        <f>(J55/'Population Figures'!U15)*1000</f>
        <v>8.0101021523615668</v>
      </c>
      <c r="Y55" s="186">
        <f>(K55/'Population Figures'!U15)*1000</f>
        <v>0</v>
      </c>
      <c r="Z55" s="186">
        <f>(L55/'Population Figures'!U15)*1000</f>
        <v>0</v>
      </c>
      <c r="AA55" s="501">
        <f>(M55/'Population Figures'!U15)*1000</f>
        <v>28.402879867315015</v>
      </c>
    </row>
    <row r="56" spans="1:27">
      <c r="A56" s="7" t="s">
        <v>140</v>
      </c>
      <c r="B56" s="425">
        <v>314900</v>
      </c>
      <c r="C56" s="280">
        <v>1333</v>
      </c>
      <c r="D56" s="425">
        <v>216</v>
      </c>
      <c r="E56" s="425">
        <v>84686</v>
      </c>
      <c r="F56" s="280">
        <v>123289</v>
      </c>
      <c r="G56" s="425">
        <v>19176</v>
      </c>
      <c r="H56" s="425">
        <v>50714</v>
      </c>
      <c r="I56" s="425">
        <v>15068</v>
      </c>
      <c r="J56" s="425">
        <v>2859</v>
      </c>
      <c r="K56" s="280">
        <v>1434</v>
      </c>
      <c r="L56" s="280">
        <v>338</v>
      </c>
      <c r="M56" s="280">
        <v>15787</v>
      </c>
      <c r="N56" s="233"/>
      <c r="O56" s="7" t="s">
        <v>140</v>
      </c>
      <c r="P56" s="425">
        <f>(B56*1000)/SUM('Population Figures'!$T16:$V16)</f>
        <v>659.25553741154795</v>
      </c>
      <c r="Q56" s="280">
        <f>(C56/SUM('Population Figures'!T16:V16))*1000</f>
        <v>2.7906879370263367</v>
      </c>
      <c r="R56" s="425">
        <f>(D56/'Population Figures'!T16)*1000</f>
        <v>2.6548346259264264</v>
      </c>
      <c r="S56" s="425">
        <f>(E56/'Population Figures'!T16)*1000</f>
        <v>1040.8672459778027</v>
      </c>
      <c r="T56" s="280">
        <f>(F56/'Population Figures'!V16)*1000</f>
        <v>1787.7298300562611</v>
      </c>
      <c r="U56" s="425">
        <f>(G56/'Population Figures'!U16)*1000</f>
        <v>58.582186445079195</v>
      </c>
      <c r="V56" s="425">
        <f>(H56/'Population Figures'!U16)*1000</f>
        <v>154.92996471504728</v>
      </c>
      <c r="W56" s="425">
        <f>(I56/'Population Figures'!U16)*1000</f>
        <v>46.032352177432905</v>
      </c>
      <c r="X56" s="500">
        <f>(J56/'Population Figures'!U16)*1000</f>
        <v>8.7341714146058305</v>
      </c>
      <c r="Y56" s="186">
        <f>(K56/'Population Figures'!U16)*1000</f>
        <v>4.3808330914812039</v>
      </c>
      <c r="Z56" s="186">
        <f>(L56/'Population Figures'!U16)*1000</f>
        <v>1.0325813005025433</v>
      </c>
      <c r="AA56" s="501">
        <f>(M56/'Population Figures'!U16)*1000</f>
        <v>48.228878671697196</v>
      </c>
    </row>
    <row r="57" spans="1:27">
      <c r="A57" s="7" t="s">
        <v>42</v>
      </c>
      <c r="B57" s="425">
        <v>26642</v>
      </c>
      <c r="C57" s="280">
        <v>412</v>
      </c>
      <c r="D57" s="425">
        <v>42</v>
      </c>
      <c r="E57" s="425">
        <v>4023</v>
      </c>
      <c r="F57" s="280">
        <v>15648</v>
      </c>
      <c r="G57" s="425">
        <v>1277</v>
      </c>
      <c r="H57" s="425">
        <v>3675</v>
      </c>
      <c r="I57" s="425">
        <v>1083</v>
      </c>
      <c r="J57" s="425">
        <v>160</v>
      </c>
      <c r="K57" s="280">
        <v>0</v>
      </c>
      <c r="L57" s="280">
        <v>0</v>
      </c>
      <c r="M57" s="280">
        <v>322</v>
      </c>
      <c r="N57" s="233"/>
      <c r="O57" s="7" t="s">
        <v>42</v>
      </c>
      <c r="P57" s="425">
        <f>(B57*1000)/SUM('Population Figures'!$T17:$V17)</f>
        <v>1017.6470588235294</v>
      </c>
      <c r="Q57" s="280">
        <f>(C57/SUM('Population Figures'!T17:V17))*1000</f>
        <v>15.73720397249809</v>
      </c>
      <c r="R57" s="425">
        <f>(D57/'Population Figures'!T17)*1000</f>
        <v>8.1363812475784574</v>
      </c>
      <c r="S57" s="425">
        <f>(E57/'Population Figures'!T17)*1000</f>
        <v>779.34908950019371</v>
      </c>
      <c r="T57" s="280">
        <f>(F57/'Population Figures'!V17)*1000</f>
        <v>2786.3247863247861</v>
      </c>
      <c r="U57" s="425">
        <f>(G57/'Population Figures'!U17)*1000</f>
        <v>82.91131021945202</v>
      </c>
      <c r="V57" s="425">
        <f>(H57/'Population Figures'!U17)*1000</f>
        <v>238.60537592520453</v>
      </c>
      <c r="W57" s="425">
        <f>(I57/'Population Figures'!U17)*1000</f>
        <v>70.315543435917405</v>
      </c>
      <c r="X57" s="500">
        <f>(J57/'Population Figures'!U17)*1000</f>
        <v>10.388261264770808</v>
      </c>
      <c r="Y57" s="186">
        <f>(K57/'Population Figures'!U17)*1000</f>
        <v>0</v>
      </c>
      <c r="Z57" s="186">
        <f>(L57/'Population Figures'!U17)*1000</f>
        <v>0</v>
      </c>
      <c r="AA57" s="501">
        <f>(M57/'Population Figures'!U17)*1000</f>
        <v>20.906375795351252</v>
      </c>
    </row>
    <row r="58" spans="1:27">
      <c r="A58" s="7" t="s">
        <v>43</v>
      </c>
      <c r="B58" s="425">
        <v>98560</v>
      </c>
      <c r="C58" s="280">
        <v>396</v>
      </c>
      <c r="D58" s="425">
        <v>87</v>
      </c>
      <c r="E58" s="425">
        <v>22442</v>
      </c>
      <c r="F58" s="280">
        <v>46084</v>
      </c>
      <c r="G58" s="425">
        <v>7347</v>
      </c>
      <c r="H58" s="425">
        <v>14428</v>
      </c>
      <c r="I58" s="425">
        <v>4279</v>
      </c>
      <c r="J58" s="425">
        <v>377</v>
      </c>
      <c r="K58" s="280">
        <v>0</v>
      </c>
      <c r="L58" s="280">
        <v>0</v>
      </c>
      <c r="M58" s="280">
        <v>3120</v>
      </c>
      <c r="N58" s="233"/>
      <c r="O58" s="7" t="s">
        <v>43</v>
      </c>
      <c r="P58" s="425">
        <f>(B58*1000)/SUM('Population Figures'!$T18:$V18)</f>
        <v>646.37985309548799</v>
      </c>
      <c r="Q58" s="280">
        <f>(C58/SUM('Population Figures'!T18:V18))*1000</f>
        <v>2.5970619097586569</v>
      </c>
      <c r="R58" s="425">
        <f>(D58/'Population Figures'!T18)*1000</f>
        <v>2.7121391607955609</v>
      </c>
      <c r="S58" s="425">
        <f>(E58/'Population Figures'!T18)*1000</f>
        <v>699.60720743188472</v>
      </c>
      <c r="T58" s="280">
        <f>(F58/'Population Figures'!V18)*1000</f>
        <v>1869.9886382080831</v>
      </c>
      <c r="U58" s="425">
        <f>(G58/'Population Figures'!U18)*1000</f>
        <v>76.724660080619898</v>
      </c>
      <c r="V58" s="425">
        <f>(H58/'Population Figures'!U18)*1000</f>
        <v>150.67148436684141</v>
      </c>
      <c r="W58" s="425">
        <f>(I58/'Population Figures'!U18)*1000</f>
        <v>44.685561519664148</v>
      </c>
      <c r="X58" s="500">
        <f>(J58/'Population Figures'!U18)*1000</f>
        <v>3.9370078740157481</v>
      </c>
      <c r="Y58" s="186">
        <f>(K58/'Population Figures'!U18)*1000</f>
        <v>0</v>
      </c>
      <c r="Z58" s="186">
        <f>(L58/'Population Figures'!U18)*1000</f>
        <v>0</v>
      </c>
      <c r="AA58" s="501">
        <f>(M58/'Population Figures'!U18)*1000</f>
        <v>32.582134129785501</v>
      </c>
    </row>
    <row r="59" spans="1:27">
      <c r="A59" s="7" t="s">
        <v>44</v>
      </c>
      <c r="B59" s="425">
        <v>231498</v>
      </c>
      <c r="C59" s="280">
        <v>1024</v>
      </c>
      <c r="D59" s="425">
        <v>218</v>
      </c>
      <c r="E59" s="425">
        <v>44671</v>
      </c>
      <c r="F59" s="280">
        <v>101764</v>
      </c>
      <c r="G59" s="425">
        <v>19759</v>
      </c>
      <c r="H59" s="425">
        <v>48538</v>
      </c>
      <c r="I59" s="425">
        <v>7699</v>
      </c>
      <c r="J59" s="425">
        <v>1194</v>
      </c>
      <c r="K59" s="280">
        <v>87</v>
      </c>
      <c r="L59" s="280">
        <v>0</v>
      </c>
      <c r="M59" s="280">
        <v>6544</v>
      </c>
      <c r="N59" s="233"/>
      <c r="O59" s="7" t="s">
        <v>44</v>
      </c>
      <c r="P59" s="425">
        <f>(B59*1000)/SUM('Population Figures'!$T19:$V19)</f>
        <v>636.92841027898533</v>
      </c>
      <c r="Q59" s="280">
        <f>(C59/SUM('Population Figures'!T19:V19))*1000</f>
        <v>2.8173664227150166</v>
      </c>
      <c r="R59" s="425">
        <f>(D59/'Population Figures'!T19)*1000</f>
        <v>2.9454683024374426</v>
      </c>
      <c r="S59" s="425">
        <f>(E59/'Population Figures'!T19)*1000</f>
        <v>603.56428687239907</v>
      </c>
      <c r="T59" s="280">
        <f>(F59/'Population Figures'!V19)*1000</f>
        <v>1616.3791734171989</v>
      </c>
      <c r="U59" s="425">
        <f>(G59/'Population Figures'!U19)*1000</f>
        <v>87.240054748554016</v>
      </c>
      <c r="V59" s="425">
        <f>(H59/'Population Figures'!U19)*1000</f>
        <v>214.30526734072146</v>
      </c>
      <c r="W59" s="425">
        <f>(I59/'Population Figures'!U19)*1000</f>
        <v>33.992670758090867</v>
      </c>
      <c r="X59" s="500">
        <f>(J59/'Population Figures'!U19)*1000</f>
        <v>5.2717559274140138</v>
      </c>
      <c r="Y59" s="186">
        <f>(K59/'Population Figures'!U19)*1000</f>
        <v>0.38412291933418696</v>
      </c>
      <c r="Z59" s="186">
        <f>(L59/'Population Figures'!U19)*1000</f>
        <v>0</v>
      </c>
      <c r="AA59" s="501">
        <f>(M59/'Population Figures'!U19)*1000</f>
        <v>28.893107863481834</v>
      </c>
    </row>
    <row r="60" spans="1:27">
      <c r="A60" s="7" t="s">
        <v>45</v>
      </c>
      <c r="B60" s="425">
        <v>531136</v>
      </c>
      <c r="C60" s="280">
        <v>1826</v>
      </c>
      <c r="D60" s="425">
        <v>512</v>
      </c>
      <c r="E60" s="425">
        <v>143104</v>
      </c>
      <c r="F60" s="280">
        <v>219805</v>
      </c>
      <c r="G60" s="425">
        <v>33145</v>
      </c>
      <c r="H60" s="425">
        <v>67524</v>
      </c>
      <c r="I60" s="425">
        <v>22421</v>
      </c>
      <c r="J60" s="425">
        <v>20258</v>
      </c>
      <c r="K60" s="280">
        <v>27</v>
      </c>
      <c r="L60" s="280">
        <v>2582</v>
      </c>
      <c r="M60" s="280">
        <v>19932</v>
      </c>
      <c r="N60" s="233"/>
      <c r="O60" s="7" t="s">
        <v>45</v>
      </c>
      <c r="P60" s="425">
        <f>(B60*1000)/SUM('Population Figures'!$T20:$V20)</f>
        <v>902.57107414141763</v>
      </c>
      <c r="Q60" s="280">
        <f>(C60/SUM('Population Figures'!T20:V20))*1000</f>
        <v>3.1029619181946404</v>
      </c>
      <c r="R60" s="425">
        <f>(D60/'Population Figures'!T20)*1000</f>
        <v>4.6377231677823163</v>
      </c>
      <c r="S60" s="425">
        <f>(E60/'Population Figures'!T20)*1000</f>
        <v>1296.2436253951576</v>
      </c>
      <c r="T60" s="280">
        <f>(F60/'Population Figures'!V20)*1000</f>
        <v>2695.5386049249482</v>
      </c>
      <c r="U60" s="425">
        <f>(G60/'Population Figures'!U20)*1000</f>
        <v>83.588255024248028</v>
      </c>
      <c r="V60" s="425">
        <f>(H60/'Population Figures'!U20)*1000</f>
        <v>170.28853016314147</v>
      </c>
      <c r="W60" s="425">
        <f>(I60/'Population Figures'!U20)*1000</f>
        <v>56.543438403942226</v>
      </c>
      <c r="X60" s="500">
        <f>(J60/'Population Figures'!U20)*1000</f>
        <v>51.088576566034597</v>
      </c>
      <c r="Y60" s="186">
        <f>(K60/'Population Figures'!U20)*1000</f>
        <v>6.809120186015076E-2</v>
      </c>
      <c r="Z60" s="186">
        <f>(L60/'Population Figures'!U20)*1000</f>
        <v>6.5115364149225652</v>
      </c>
      <c r="AA60" s="501">
        <f>(M60/'Population Figures'!U20)*1000</f>
        <v>50.266438350982405</v>
      </c>
    </row>
    <row r="61" spans="1:27">
      <c r="A61" s="7" t="s">
        <v>46</v>
      </c>
      <c r="B61" s="425">
        <v>140163</v>
      </c>
      <c r="C61" s="280">
        <v>403</v>
      </c>
      <c r="D61" s="425">
        <v>118</v>
      </c>
      <c r="E61" s="425">
        <v>24618</v>
      </c>
      <c r="F61" s="280">
        <v>66724</v>
      </c>
      <c r="G61" s="425">
        <v>10031</v>
      </c>
      <c r="H61" s="425">
        <v>28531</v>
      </c>
      <c r="I61" s="425">
        <v>5836</v>
      </c>
      <c r="J61" s="425">
        <v>782</v>
      </c>
      <c r="K61" s="280">
        <v>0</v>
      </c>
      <c r="L61" s="280">
        <v>0</v>
      </c>
      <c r="M61" s="280">
        <v>3120</v>
      </c>
      <c r="N61" s="233"/>
      <c r="O61" s="7" t="s">
        <v>46</v>
      </c>
      <c r="P61" s="425">
        <f>(B61*1000)/SUM('Population Figures'!$T21:$V21)</f>
        <v>635.68869336477849</v>
      </c>
      <c r="Q61" s="280">
        <f>(C61/SUM('Population Figures'!T21:V21))*1000</f>
        <v>1.8277472901265364</v>
      </c>
      <c r="R61" s="425">
        <f>(D61/'Population Figures'!T21)*1000</f>
        <v>2.6439614609007394</v>
      </c>
      <c r="S61" s="425">
        <f>(E61/'Population Figures'!T21)*1000</f>
        <v>551.60206139368142</v>
      </c>
      <c r="T61" s="280">
        <f>(F61/'Population Figures'!V21)*1000</f>
        <v>1632.4313744678768</v>
      </c>
      <c r="U61" s="425">
        <f>(G61/'Population Figures'!U21)*1000</f>
        <v>74.311410072155638</v>
      </c>
      <c r="V61" s="425">
        <f>(H61/'Population Figures'!U21)*1000</f>
        <v>211.36265983138992</v>
      </c>
      <c r="W61" s="425">
        <f>(I61/'Population Figures'!U21)*1000</f>
        <v>43.234113167291419</v>
      </c>
      <c r="X61" s="500">
        <f>(J61/'Population Figures'!U21)*1000</f>
        <v>5.7931933682011474</v>
      </c>
      <c r="Y61" s="186">
        <f>(K61/'Population Figures'!U21)*1000</f>
        <v>0</v>
      </c>
      <c r="Z61" s="186">
        <f>(L61/'Population Figures'!U21)*1000</f>
        <v>0</v>
      </c>
      <c r="AA61" s="501">
        <f>(M61/'Population Figures'!U21)*1000</f>
        <v>23.113508067503297</v>
      </c>
    </row>
    <row r="62" spans="1:27">
      <c r="A62" s="7" t="s">
        <v>47</v>
      </c>
      <c r="B62" s="425">
        <v>65068</v>
      </c>
      <c r="C62" s="280">
        <v>326</v>
      </c>
      <c r="D62" s="425">
        <v>22</v>
      </c>
      <c r="E62" s="425">
        <v>13071</v>
      </c>
      <c r="F62" s="280">
        <v>32226</v>
      </c>
      <c r="G62" s="425">
        <v>3142</v>
      </c>
      <c r="H62" s="425">
        <v>9143</v>
      </c>
      <c r="I62" s="425">
        <v>3189</v>
      </c>
      <c r="J62" s="425">
        <v>1869</v>
      </c>
      <c r="K62" s="280">
        <v>0</v>
      </c>
      <c r="L62" s="280">
        <v>0</v>
      </c>
      <c r="M62" s="280">
        <v>2080</v>
      </c>
      <c r="N62" s="233"/>
      <c r="O62" s="7" t="s">
        <v>47</v>
      </c>
      <c r="P62" s="425">
        <f>(B62*1000)/SUM('Population Figures'!$T22:$V22)</f>
        <v>811.22054606657525</v>
      </c>
      <c r="Q62" s="280">
        <f>(C62/SUM('Population Figures'!T22:V22))*1000</f>
        <v>4.0643311307816976</v>
      </c>
      <c r="R62" s="425">
        <f>(D62/'Population Figures'!T22)*1000</f>
        <v>1.3720843208182611</v>
      </c>
      <c r="S62" s="425">
        <f>(E62/'Population Figures'!T22)*1000</f>
        <v>815.2051889734314</v>
      </c>
      <c r="T62" s="280">
        <f>(F62/'Population Figures'!V22)*1000</f>
        <v>2243.5254803675857</v>
      </c>
      <c r="U62" s="425">
        <f>(G62/'Population Figures'!U22)*1000</f>
        <v>63.077170159800858</v>
      </c>
      <c r="V62" s="425">
        <f>(H62/'Population Figures'!U22)*1000</f>
        <v>183.55014855858028</v>
      </c>
      <c r="W62" s="425">
        <f>(I62/'Population Figures'!U22)*1000</f>
        <v>64.020717899301374</v>
      </c>
      <c r="X62" s="500">
        <f>(J62/'Population Figures'!U22)*1000</f>
        <v>37.521079258010118</v>
      </c>
      <c r="Y62" s="186">
        <f>(K62/'Population Figures'!U22)*1000</f>
        <v>0</v>
      </c>
      <c r="Z62" s="186">
        <f>(L62/'Population Figures'!U22)*1000</f>
        <v>0</v>
      </c>
      <c r="AA62" s="501">
        <f>(M62/'Population Figures'!U22)*1000</f>
        <v>41.757006343852893</v>
      </c>
    </row>
    <row r="63" spans="1:27">
      <c r="A63" s="7" t="s">
        <v>48</v>
      </c>
      <c r="B63" s="425">
        <v>51876</v>
      </c>
      <c r="C63" s="280">
        <v>1092</v>
      </c>
      <c r="D63" s="425">
        <v>72</v>
      </c>
      <c r="E63" s="425">
        <v>12286</v>
      </c>
      <c r="F63" s="280">
        <v>20999</v>
      </c>
      <c r="G63" s="425">
        <v>3152</v>
      </c>
      <c r="H63" s="425">
        <v>10643</v>
      </c>
      <c r="I63" s="425">
        <v>1950</v>
      </c>
      <c r="J63" s="425">
        <v>755</v>
      </c>
      <c r="K63" s="280">
        <v>3</v>
      </c>
      <c r="L63" s="280">
        <v>0</v>
      </c>
      <c r="M63" s="280">
        <v>924</v>
      </c>
      <c r="N63" s="233"/>
      <c r="O63" s="7" t="s">
        <v>48</v>
      </c>
      <c r="P63" s="425">
        <f>(B63*1000)/SUM('Population Figures'!$T23:$V23)</f>
        <v>641.95025368147503</v>
      </c>
      <c r="Q63" s="280">
        <f>(C63/SUM('Population Figures'!T23:V23))*1000</f>
        <v>13.513179061997278</v>
      </c>
      <c r="R63" s="425">
        <f>(D63/'Population Figures'!T23)*1000</f>
        <v>4.082558403266046</v>
      </c>
      <c r="S63" s="425">
        <f>(E63/'Population Figures'!T23)*1000</f>
        <v>696.64322975731466</v>
      </c>
      <c r="T63" s="280">
        <f>(F63/'Population Figures'!V23)*1000</f>
        <v>1582.9187396351576</v>
      </c>
      <c r="U63" s="425">
        <f>(G63/'Population Figures'!U23)*1000</f>
        <v>63.156207421655843</v>
      </c>
      <c r="V63" s="425">
        <f>(H63/'Population Figures'!U23)*1000</f>
        <v>213.2523843872726</v>
      </c>
      <c r="W63" s="425">
        <f>(I63/'Population Figures'!U23)*1000</f>
        <v>39.071892281798512</v>
      </c>
      <c r="X63" s="500">
        <f>(J63/'Population Figures'!U23)*1000</f>
        <v>15.127835216798909</v>
      </c>
      <c r="Y63" s="186">
        <f>(K63/'Population Figures'!U23)*1000</f>
        <v>6.0110603510459243E-2</v>
      </c>
      <c r="Z63" s="186">
        <f>(L63/'Population Figures'!U23)*1000</f>
        <v>0</v>
      </c>
      <c r="AA63" s="501">
        <f>(M63/'Population Figures'!U23)*1000</f>
        <v>18.514065881221445</v>
      </c>
    </row>
    <row r="64" spans="1:27">
      <c r="A64" s="7" t="s">
        <v>49</v>
      </c>
      <c r="B64" s="425">
        <v>52104</v>
      </c>
      <c r="C64" s="280">
        <v>393</v>
      </c>
      <c r="D64" s="425">
        <v>59</v>
      </c>
      <c r="E64" s="425">
        <v>12945</v>
      </c>
      <c r="F64" s="280">
        <v>23096</v>
      </c>
      <c r="G64" s="425">
        <v>3188</v>
      </c>
      <c r="H64" s="425">
        <v>9302</v>
      </c>
      <c r="I64" s="425">
        <v>1688</v>
      </c>
      <c r="J64" s="425">
        <v>717</v>
      </c>
      <c r="K64" s="280">
        <v>0</v>
      </c>
      <c r="L64" s="280">
        <v>0</v>
      </c>
      <c r="M64" s="280">
        <v>716</v>
      </c>
      <c r="N64" s="233"/>
      <c r="O64" s="7" t="s">
        <v>49</v>
      </c>
      <c r="P64" s="425">
        <f>(B64*1000)/SUM('Population Figures'!$T24:$V24)</f>
        <v>594.38740588637916</v>
      </c>
      <c r="Q64" s="280">
        <f>(C64/SUM('Population Figures'!T24:V24))*1000</f>
        <v>4.4832306639288158</v>
      </c>
      <c r="R64" s="425">
        <f>(D64/'Population Figures'!T24)*1000</f>
        <v>3.2770495445456564</v>
      </c>
      <c r="S64" s="425">
        <f>(E64/'Population Figures'!T24)*1000</f>
        <v>719.00688735836479</v>
      </c>
      <c r="T64" s="280">
        <f>(F64/'Population Figures'!V24)*1000</f>
        <v>1420.5929388608686</v>
      </c>
      <c r="U64" s="425">
        <f>(G64/'Population Figures'!U24)*1000</f>
        <v>59.70261058466609</v>
      </c>
      <c r="V64" s="425">
        <f>(H64/'Population Figures'!U24)*1000</f>
        <v>174.20128094685194</v>
      </c>
      <c r="W64" s="425">
        <f>(I64/'Population Figures'!U24)*1000</f>
        <v>31.611670849095468</v>
      </c>
      <c r="X64" s="500">
        <f>(J64/'Population Figures'!U24)*1000</f>
        <v>13.427469193602755</v>
      </c>
      <c r="Y64" s="186">
        <f>(K64/'Population Figures'!U24)*1000</f>
        <v>0</v>
      </c>
      <c r="Z64" s="186">
        <f>(L64/'Population Figures'!U24)*1000</f>
        <v>0</v>
      </c>
      <c r="AA64" s="501">
        <f>(M64/'Population Figures'!U24)*1000</f>
        <v>13.40874190044571</v>
      </c>
    </row>
    <row r="65" spans="1:27">
      <c r="A65" s="7" t="s">
        <v>50</v>
      </c>
      <c r="B65" s="425">
        <v>98083</v>
      </c>
      <c r="C65" s="280">
        <v>819</v>
      </c>
      <c r="D65" s="425">
        <v>171</v>
      </c>
      <c r="E65" s="425">
        <v>22058</v>
      </c>
      <c r="F65" s="280">
        <v>47051</v>
      </c>
      <c r="G65" s="425">
        <v>5153</v>
      </c>
      <c r="H65" s="425">
        <v>14883</v>
      </c>
      <c r="I65" s="425">
        <v>3113</v>
      </c>
      <c r="J65" s="425">
        <v>1421</v>
      </c>
      <c r="K65" s="280">
        <v>0</v>
      </c>
      <c r="L65" s="280">
        <v>0</v>
      </c>
      <c r="M65" s="280">
        <v>3414</v>
      </c>
      <c r="N65" s="233"/>
      <c r="O65" s="7" t="s">
        <v>50</v>
      </c>
      <c r="P65" s="425">
        <f>(B65*1000)/SUM('Population Figures'!$T25:$V25)</f>
        <v>723.80636115415837</v>
      </c>
      <c r="Q65" s="280">
        <f>(C65/SUM('Population Figures'!T25:V25))*1000</f>
        <v>6.0438344033650653</v>
      </c>
      <c r="R65" s="425">
        <f>(D65/'Population Figures'!T25)*1000</f>
        <v>6.0832443970117396</v>
      </c>
      <c r="S65" s="425">
        <f>(E65/'Population Figures'!T25)*1000</f>
        <v>784.70295268587688</v>
      </c>
      <c r="T65" s="280">
        <f>(F65/'Population Figures'!V25)*1000</f>
        <v>1892.3342985842985</v>
      </c>
      <c r="U65" s="425">
        <f>(G65/'Population Figures'!U25)*1000</f>
        <v>62.433362411553752</v>
      </c>
      <c r="V65" s="425">
        <f>(H65/'Population Figures'!U25)*1000</f>
        <v>180.32131433556268</v>
      </c>
      <c r="W65" s="425">
        <f>(I65/'Population Figures'!U25)*1000</f>
        <v>37.716875060579632</v>
      </c>
      <c r="X65" s="500">
        <f>(J65/'Population Figures'!U25)*1000</f>
        <v>17.216729669477559</v>
      </c>
      <c r="Y65" s="186">
        <f>(K65/'Population Figures'!U25)*1000</f>
        <v>0</v>
      </c>
      <c r="Z65" s="186">
        <f>(L65/'Population Figures'!U25)*1000</f>
        <v>0</v>
      </c>
      <c r="AA65" s="501">
        <f>(M65/'Population Figures'!U25)*1000</f>
        <v>41.363768537365516</v>
      </c>
    </row>
    <row r="66" spans="1:27">
      <c r="A66" s="7" t="s">
        <v>51</v>
      </c>
      <c r="B66" s="425">
        <v>198746</v>
      </c>
      <c r="C66" s="280">
        <v>910</v>
      </c>
      <c r="D66" s="425">
        <v>50</v>
      </c>
      <c r="E66" s="425">
        <v>24694</v>
      </c>
      <c r="F66" s="280">
        <v>96894</v>
      </c>
      <c r="G66" s="425">
        <v>5684</v>
      </c>
      <c r="H66" s="425">
        <v>52330</v>
      </c>
      <c r="I66" s="425">
        <v>9212</v>
      </c>
      <c r="J66" s="425">
        <v>2530</v>
      </c>
      <c r="K66" s="280">
        <v>0</v>
      </c>
      <c r="L66" s="280">
        <v>5</v>
      </c>
      <c r="M66" s="280">
        <v>6437</v>
      </c>
      <c r="N66" s="233"/>
      <c r="O66" s="7" t="s">
        <v>51</v>
      </c>
      <c r="P66" s="425">
        <f>(B66*1000)/SUM('Population Figures'!$T26:$V26)</f>
        <v>609.05246383917631</v>
      </c>
      <c r="Q66" s="280">
        <f>(C66/SUM('Population Figures'!T26:V26))*1000</f>
        <v>2.788673694532974</v>
      </c>
      <c r="R66" s="425">
        <f>(D66/'Population Figures'!T26)*1000</f>
        <v>0.6966116807846634</v>
      </c>
      <c r="S66" s="425">
        <f>(E66/'Population Figures'!T26)*1000</f>
        <v>344.04257690592954</v>
      </c>
      <c r="T66" s="280">
        <f>(F66/'Population Figures'!V26)*1000</f>
        <v>1973.6826024076752</v>
      </c>
      <c r="U66" s="425">
        <f>(G66/'Population Figures'!U26)*1000</f>
        <v>27.665964147168911</v>
      </c>
      <c r="V66" s="425">
        <f>(H66/'Population Figures'!U26)*1000</f>
        <v>254.7079352254309</v>
      </c>
      <c r="W66" s="425">
        <f>(I66/'Population Figures'!U26)*1000</f>
        <v>44.83794189368755</v>
      </c>
      <c r="X66" s="500">
        <f>(J66/'Population Figures'!U26)*1000</f>
        <v>12.314371796681447</v>
      </c>
      <c r="Y66" s="186">
        <f>(K66/'Population Figures'!U26)*1000</f>
        <v>0</v>
      </c>
      <c r="Z66" s="186">
        <f>(L66/'Population Figures'!U26)*1000</f>
        <v>2.4336703155496932E-2</v>
      </c>
      <c r="AA66" s="501">
        <f>(M66/'Population Figures'!U26)*1000</f>
        <v>31.33107164238675</v>
      </c>
    </row>
    <row r="67" spans="1:27">
      <c r="A67" s="7" t="s">
        <v>52</v>
      </c>
      <c r="B67" s="425">
        <v>20363</v>
      </c>
      <c r="C67" s="280">
        <v>726</v>
      </c>
      <c r="D67" s="425">
        <v>38</v>
      </c>
      <c r="E67" s="425">
        <v>2722</v>
      </c>
      <c r="F67" s="280">
        <v>12614</v>
      </c>
      <c r="G67" s="425">
        <v>1383</v>
      </c>
      <c r="H67" s="425">
        <v>2235</v>
      </c>
      <c r="I67" s="425">
        <v>601</v>
      </c>
      <c r="J67" s="425">
        <v>46</v>
      </c>
      <c r="K67" s="280">
        <v>0</v>
      </c>
      <c r="L67" s="280">
        <v>0</v>
      </c>
      <c r="M67" s="280">
        <v>-2</v>
      </c>
      <c r="N67" s="233"/>
      <c r="O67" s="7" t="s">
        <v>52</v>
      </c>
      <c r="P67" s="425">
        <f>(B67*1000)/SUM('Population Figures'!$T27:$V27)</f>
        <v>1020.1903807615231</v>
      </c>
      <c r="Q67" s="280">
        <f>(C67/SUM('Population Figures'!T27:V27))*1000</f>
        <v>36.372745490981963</v>
      </c>
      <c r="R67" s="425">
        <f>(D67/'Population Figures'!T27)*1000</f>
        <v>9.5357590966122956</v>
      </c>
      <c r="S67" s="425">
        <f>(E67/'Population Figures'!T27)*1000</f>
        <v>683.06148055207029</v>
      </c>
      <c r="T67" s="280">
        <f>(F67/'Population Figures'!V27)*1000</f>
        <v>3242.6735218508998</v>
      </c>
      <c r="U67" s="425">
        <f>(G67/'Population Figures'!U27)*1000</f>
        <v>114.43938767066611</v>
      </c>
      <c r="V67" s="425">
        <f>(H67/'Population Figures'!U27)*1000</f>
        <v>184.94000827472073</v>
      </c>
      <c r="W67" s="425">
        <f>(I67/'Population Figures'!U27)*1000</f>
        <v>49.731071576334301</v>
      </c>
      <c r="X67" s="500">
        <f>(J67/'Population Figures'!U27)*1000</f>
        <v>3.8063715349606948</v>
      </c>
      <c r="Y67" s="186">
        <f>(K67/'Population Figures'!U27)*1000</f>
        <v>0</v>
      </c>
      <c r="Z67" s="186">
        <f>(L67/'Population Figures'!U27)*1000</f>
        <v>0</v>
      </c>
      <c r="AA67" s="501">
        <f>(M67/'Population Figures'!U27)*1000</f>
        <v>-0.1654944145635085</v>
      </c>
    </row>
    <row r="68" spans="1:27">
      <c r="A68" s="7" t="s">
        <v>53</v>
      </c>
      <c r="B68" s="425">
        <v>88270</v>
      </c>
      <c r="C68" s="280">
        <v>582</v>
      </c>
      <c r="D68" s="425">
        <v>0</v>
      </c>
      <c r="E68" s="425">
        <v>15950</v>
      </c>
      <c r="F68" s="280">
        <v>46610</v>
      </c>
      <c r="G68" s="425">
        <v>2563</v>
      </c>
      <c r="H68" s="425">
        <v>14714</v>
      </c>
      <c r="I68" s="425">
        <v>4218</v>
      </c>
      <c r="J68" s="425">
        <v>1118</v>
      </c>
      <c r="K68" s="280">
        <v>0</v>
      </c>
      <c r="L68" s="280">
        <v>0</v>
      </c>
      <c r="M68" s="280">
        <v>2515</v>
      </c>
      <c r="N68" s="233"/>
      <c r="O68" s="7" t="s">
        <v>53</v>
      </c>
      <c r="P68" s="425">
        <f>(B68*1000)/SUM('Population Figures'!$T28:$V28)</f>
        <v>604.96196285381404</v>
      </c>
      <c r="Q68" s="280">
        <f>(C68/SUM('Population Figures'!T28:V28))*1000</f>
        <v>3.9887601946405322</v>
      </c>
      <c r="R68" s="425">
        <f>(D68/'Population Figures'!T28)*1000</f>
        <v>0</v>
      </c>
      <c r="S68" s="425">
        <f>(E68/'Population Figures'!T28)*1000</f>
        <v>557.82883922638405</v>
      </c>
      <c r="T68" s="280">
        <f>(F68/'Population Figures'!V28)*1000</f>
        <v>1635.4959823151689</v>
      </c>
      <c r="U68" s="425">
        <f>(G68/'Population Figures'!U28)*1000</f>
        <v>28.856763268706793</v>
      </c>
      <c r="V68" s="425">
        <f>(H68/'Population Figures'!U28)*1000</f>
        <v>165.66461753248217</v>
      </c>
      <c r="W68" s="425">
        <f>(I68/'Population Figures'!U28)*1000</f>
        <v>47.490373572924405</v>
      </c>
      <c r="X68" s="500">
        <f>(J68/'Population Figures'!U28)*1000</f>
        <v>12.587538562003198</v>
      </c>
      <c r="Y68" s="186">
        <f>(K68/'Population Figures'!U28)*1000</f>
        <v>0</v>
      </c>
      <c r="Z68" s="186">
        <f>(L68/'Population Figures'!U28)*1000</f>
        <v>0</v>
      </c>
      <c r="AA68" s="501">
        <f>(M68/'Population Figures'!U28)*1000</f>
        <v>28.316332274989307</v>
      </c>
    </row>
    <row r="69" spans="1:27">
      <c r="A69" s="7" t="s">
        <v>54</v>
      </c>
      <c r="B69" s="425">
        <v>123932</v>
      </c>
      <c r="C69" s="280">
        <v>616</v>
      </c>
      <c r="D69" s="425">
        <v>0</v>
      </c>
      <c r="E69" s="425">
        <v>29621</v>
      </c>
      <c r="F69" s="280">
        <v>51096</v>
      </c>
      <c r="G69" s="425">
        <v>10180</v>
      </c>
      <c r="H69" s="425">
        <v>20635</v>
      </c>
      <c r="I69" s="425">
        <v>5116</v>
      </c>
      <c r="J69" s="425">
        <v>2090</v>
      </c>
      <c r="K69" s="280">
        <v>0</v>
      </c>
      <c r="L69" s="280">
        <v>0</v>
      </c>
      <c r="M69" s="280">
        <v>4578</v>
      </c>
      <c r="N69" s="233"/>
      <c r="O69" s="7" t="s">
        <v>54</v>
      </c>
      <c r="P69" s="425">
        <f>(B69*1000)/SUM('Population Figures'!$T29:$V29)</f>
        <v>729.39791654405269</v>
      </c>
      <c r="Q69" s="280">
        <f>(C69/SUM('Population Figures'!T29:V29))*1000</f>
        <v>3.6254487669942912</v>
      </c>
      <c r="R69" s="425">
        <f>(D69/'Population Figures'!T29)*1000</f>
        <v>0</v>
      </c>
      <c r="S69" s="425">
        <f>(E69/'Population Figures'!T29)*1000</f>
        <v>853.8279718667128</v>
      </c>
      <c r="T69" s="280">
        <f>(F69/'Population Figures'!V29)*1000</f>
        <v>1811.5294618166347</v>
      </c>
      <c r="U69" s="425">
        <f>(G69/'Population Figures'!U29)*1000</f>
        <v>95.12951818487646</v>
      </c>
      <c r="V69" s="425">
        <f>(H69/'Population Figures'!U29)*1000</f>
        <v>192.82884162523828</v>
      </c>
      <c r="W69" s="425">
        <f>(I69/'Population Figures'!U29)*1000</f>
        <v>47.807722498411394</v>
      </c>
      <c r="X69" s="500">
        <f>(J69/'Population Figures'!U29)*1000</f>
        <v>19.530519941688784</v>
      </c>
      <c r="Y69" s="186">
        <f>(K69/'Population Figures'!U29)*1000</f>
        <v>0</v>
      </c>
      <c r="Z69" s="186">
        <f>(L69/'Population Figures'!U29)*1000</f>
        <v>0</v>
      </c>
      <c r="AA69" s="501">
        <f>(M69/'Population Figures'!U29)*1000</f>
        <v>42.780248944043656</v>
      </c>
    </row>
    <row r="70" spans="1:27">
      <c r="A70" s="7" t="s">
        <v>55</v>
      </c>
      <c r="B70" s="425">
        <v>82126</v>
      </c>
      <c r="C70" s="280">
        <v>535</v>
      </c>
      <c r="D70" s="425">
        <v>38</v>
      </c>
      <c r="E70" s="425">
        <v>14326</v>
      </c>
      <c r="F70" s="280">
        <v>38889</v>
      </c>
      <c r="G70" s="425">
        <v>5971</v>
      </c>
      <c r="H70" s="425">
        <v>17821</v>
      </c>
      <c r="I70" s="425">
        <v>2689</v>
      </c>
      <c r="J70" s="425">
        <v>190</v>
      </c>
      <c r="K70" s="280">
        <v>0</v>
      </c>
      <c r="L70" s="280">
        <v>0</v>
      </c>
      <c r="M70" s="280">
        <v>1667</v>
      </c>
      <c r="N70" s="233"/>
      <c r="O70" s="7" t="s">
        <v>55</v>
      </c>
      <c r="P70" s="425">
        <f>(B70*1000)/SUM('Population Figures'!$T30:$V30)</f>
        <v>728.84274050408237</v>
      </c>
      <c r="Q70" s="280">
        <f>(C70/SUM('Population Figures'!T30:V30))*1000</f>
        <v>4.7479588214412489</v>
      </c>
      <c r="R70" s="425">
        <f>(D70/'Population Figures'!T30)*1000</f>
        <v>1.6679102839836719</v>
      </c>
      <c r="S70" s="425">
        <f>(E70/'Population Figures'!T30)*1000</f>
        <v>628.80217706184442</v>
      </c>
      <c r="T70" s="280">
        <f>(F70/'Population Figures'!V30)*1000</f>
        <v>1727.4786780383795</v>
      </c>
      <c r="U70" s="425">
        <f>(G70/'Population Figures'!U30)*1000</f>
        <v>88.610224827483862</v>
      </c>
      <c r="V70" s="425">
        <f>(H70/'Population Figures'!U30)*1000</f>
        <v>264.46538547154415</v>
      </c>
      <c r="W70" s="425">
        <f>(I70/'Population Figures'!U30)*1000</f>
        <v>39.905023373154265</v>
      </c>
      <c r="X70" s="500">
        <f>(J70/'Population Figures'!U30)*1000</f>
        <v>2.8196186094828226</v>
      </c>
      <c r="Y70" s="186">
        <f>(K70/'Population Figures'!U30)*1000</f>
        <v>0</v>
      </c>
      <c r="Z70" s="186">
        <f>(L70/'Population Figures'!U30)*1000</f>
        <v>0</v>
      </c>
      <c r="AA70" s="501">
        <f>(M70/'Population Figures'!U30)*1000</f>
        <v>24.738443273725608</v>
      </c>
    </row>
    <row r="71" spans="1:27">
      <c r="A71" s="7" t="s">
        <v>56</v>
      </c>
      <c r="B71" s="425">
        <v>29745</v>
      </c>
      <c r="C71" s="280">
        <v>383</v>
      </c>
      <c r="D71" s="425">
        <v>54</v>
      </c>
      <c r="E71" s="425">
        <v>4705</v>
      </c>
      <c r="F71" s="280">
        <v>15901</v>
      </c>
      <c r="G71" s="425">
        <v>1951</v>
      </c>
      <c r="H71" s="425">
        <v>4864</v>
      </c>
      <c r="I71" s="425">
        <v>1055</v>
      </c>
      <c r="J71" s="425">
        <v>462</v>
      </c>
      <c r="K71" s="280">
        <v>0</v>
      </c>
      <c r="L71" s="280">
        <v>0</v>
      </c>
      <c r="M71" s="280">
        <v>370</v>
      </c>
      <c r="N71" s="233"/>
      <c r="O71" s="7" t="s">
        <v>56</v>
      </c>
      <c r="P71" s="425">
        <f>(B71*1000)/SUM('Population Figures'!$T31:$V31)</f>
        <v>1339.2615938766321</v>
      </c>
      <c r="Q71" s="280">
        <f>(C71/SUM('Population Figures'!T31:V31))*1000</f>
        <v>17.244484466456552</v>
      </c>
      <c r="R71" s="425">
        <f>(D71/'Population Figures'!T31)*1000</f>
        <v>11.036174126302882</v>
      </c>
      <c r="S71" s="425">
        <f>(E71/'Population Figures'!T31)*1000</f>
        <v>961.5777641528714</v>
      </c>
      <c r="T71" s="280">
        <f>(F71/'Population Figures'!V31)*1000</f>
        <v>4274.4623655913974</v>
      </c>
      <c r="U71" s="425">
        <f>(G71/'Population Figures'!U31)*1000</f>
        <v>143.48753401485624</v>
      </c>
      <c r="V71" s="425">
        <f>(H71/'Population Figures'!U31)*1000</f>
        <v>357.72596896374199</v>
      </c>
      <c r="W71" s="425">
        <f>(I71/'Population Figures'!U31)*1000</f>
        <v>77.590644995219535</v>
      </c>
      <c r="X71" s="500">
        <f>(J71/'Population Figures'!U31)*1000</f>
        <v>33.978083400750165</v>
      </c>
      <c r="Y71" s="186">
        <f>(K71/'Population Figures'!U31)*1000</f>
        <v>0</v>
      </c>
      <c r="Z71" s="186">
        <f>(L71/'Population Figures'!U31)*1000</f>
        <v>0</v>
      </c>
      <c r="AA71" s="501">
        <f>(M71/'Population Figures'!U31)*1000</f>
        <v>27.211884974626756</v>
      </c>
    </row>
    <row r="72" spans="1:27">
      <c r="A72" s="7" t="s">
        <v>57</v>
      </c>
      <c r="B72" s="425">
        <v>85821</v>
      </c>
      <c r="C72" s="280">
        <v>49</v>
      </c>
      <c r="D72" s="425">
        <v>49</v>
      </c>
      <c r="E72" s="425">
        <v>17225</v>
      </c>
      <c r="F72" s="280">
        <v>43378</v>
      </c>
      <c r="G72" s="425">
        <v>3214</v>
      </c>
      <c r="H72" s="425">
        <v>15451</v>
      </c>
      <c r="I72" s="425">
        <v>3930</v>
      </c>
      <c r="J72" s="425">
        <v>996</v>
      </c>
      <c r="K72" s="280">
        <v>0</v>
      </c>
      <c r="L72" s="280">
        <v>0</v>
      </c>
      <c r="M72" s="280">
        <v>1529</v>
      </c>
      <c r="O72" s="7" t="s">
        <v>57</v>
      </c>
      <c r="P72" s="425">
        <f>(B72*1000)/SUM('Population Figures'!$T32:$V32)</f>
        <v>770.10947595118455</v>
      </c>
      <c r="Q72" s="280">
        <f>(C72/SUM('Population Figures'!T32:V32))*1000</f>
        <v>0.43969849246231157</v>
      </c>
      <c r="R72" s="425">
        <f>(D72/'Population Figures'!T32)*1000</f>
        <v>2.3333333333333335</v>
      </c>
      <c r="S72" s="425">
        <f>(E72/'Population Figures'!T32)*1000</f>
        <v>820.23809523809518</v>
      </c>
      <c r="T72" s="280">
        <f>(F72/'Population Figures'!V32)*1000</f>
        <v>1850.1236884756463</v>
      </c>
      <c r="U72" s="425">
        <f>(G72/'Population Figures'!U32)*1000</f>
        <v>47.974445472728902</v>
      </c>
      <c r="V72" s="425">
        <f>(H72/'Population Figures'!U32)*1000</f>
        <v>230.63259396363853</v>
      </c>
      <c r="W72" s="425">
        <f>(I72/'Population Figures'!U32)*1000</f>
        <v>58.661969728632414</v>
      </c>
      <c r="X72" s="500">
        <f>(J72/'Population Figures'!U32)*1000</f>
        <v>14.86700301519539</v>
      </c>
      <c r="Y72" s="186">
        <f>(K72/'Population Figures'!U32)*1000</f>
        <v>0</v>
      </c>
      <c r="Z72" s="186">
        <f>(L72/'Population Figures'!U32)*1000</f>
        <v>0</v>
      </c>
      <c r="AA72" s="501">
        <f>(M72/'Population Figures'!U32)*1000</f>
        <v>22.822939367704571</v>
      </c>
    </row>
    <row r="73" spans="1:27">
      <c r="A73" s="7" t="s">
        <v>58</v>
      </c>
      <c r="B73" s="425">
        <v>185027</v>
      </c>
      <c r="C73" s="280">
        <v>972</v>
      </c>
      <c r="D73" s="425">
        <v>70</v>
      </c>
      <c r="E73" s="425">
        <v>30921</v>
      </c>
      <c r="F73" s="280">
        <v>89424</v>
      </c>
      <c r="G73" s="425">
        <v>6594</v>
      </c>
      <c r="H73" s="425">
        <v>42143</v>
      </c>
      <c r="I73" s="425">
        <v>8575</v>
      </c>
      <c r="J73" s="425">
        <v>1143</v>
      </c>
      <c r="K73" s="280">
        <v>0</v>
      </c>
      <c r="L73" s="280">
        <v>0</v>
      </c>
      <c r="M73" s="280">
        <v>5185</v>
      </c>
      <c r="O73" s="7" t="s">
        <v>58</v>
      </c>
      <c r="P73" s="425">
        <f>(B73*1000)/SUM('Population Figures'!$T33:$V33)</f>
        <v>595.07606213617214</v>
      </c>
      <c r="Q73" s="280">
        <f>(C73/SUM('Population Figures'!T33:V33))*1000</f>
        <v>3.1261055543048273</v>
      </c>
      <c r="R73" s="425">
        <f>(D73/'Population Figures'!T33)*1000</f>
        <v>1.0779678765572787</v>
      </c>
      <c r="S73" s="425">
        <f>(E73/'Population Figures'!T33)*1000</f>
        <v>476.16921015753735</v>
      </c>
      <c r="T73" s="280">
        <f>(F73/'Population Figures'!V33)*1000</f>
        <v>1736.7255777820935</v>
      </c>
      <c r="U73" s="425">
        <f>(G73/'Population Figures'!U33)*1000</f>
        <v>33.901790717880957</v>
      </c>
      <c r="V73" s="425">
        <f>(H73/'Population Figures'!U33)*1000</f>
        <v>216.67017989439751</v>
      </c>
      <c r="W73" s="425">
        <f>(I73/'Population Figures'!U33)*1000</f>
        <v>44.086723598093606</v>
      </c>
      <c r="X73" s="500">
        <f>(J73/'Population Figures'!U33)*1000</f>
        <v>5.8765160434543429</v>
      </c>
      <c r="Y73" s="186">
        <f>(K73/'Population Figures'!U33)*1000</f>
        <v>0</v>
      </c>
      <c r="Z73" s="186">
        <f>(L73/'Population Figures'!U33)*1000</f>
        <v>0</v>
      </c>
      <c r="AA73" s="501">
        <f>(M73/'Population Figures'!U33)*1000</f>
        <v>26.65768651383269</v>
      </c>
    </row>
    <row r="74" spans="1:27">
      <c r="A74" s="7" t="s">
        <v>59</v>
      </c>
      <c r="B74" s="425">
        <v>52857</v>
      </c>
      <c r="C74" s="280">
        <v>244</v>
      </c>
      <c r="D74" s="425">
        <v>0</v>
      </c>
      <c r="E74" s="425">
        <v>10785</v>
      </c>
      <c r="F74" s="280">
        <v>25077</v>
      </c>
      <c r="G74" s="425">
        <v>2837</v>
      </c>
      <c r="H74" s="425">
        <v>9327</v>
      </c>
      <c r="I74" s="425">
        <v>2213</v>
      </c>
      <c r="J74" s="425">
        <v>316</v>
      </c>
      <c r="K74" s="280">
        <v>0</v>
      </c>
      <c r="L74" s="280">
        <v>0</v>
      </c>
      <c r="M74" s="280">
        <v>2058</v>
      </c>
      <c r="O74" s="7" t="s">
        <v>59</v>
      </c>
      <c r="P74" s="425">
        <f>(B74*1000)/SUM('Population Figures'!$T34:$V34)</f>
        <v>595.63894523326576</v>
      </c>
      <c r="Q74" s="280">
        <f>(C74/SUM('Population Figures'!T34:V34))*1000</f>
        <v>2.7496055893621816</v>
      </c>
      <c r="R74" s="425">
        <f>(D74/'Population Figures'!T34)*1000</f>
        <v>0</v>
      </c>
      <c r="S74" s="425">
        <f>(E74/'Population Figures'!T34)*1000</f>
        <v>576.73796791443851</v>
      </c>
      <c r="T74" s="280">
        <f>(F74/'Population Figures'!V34)*1000</f>
        <v>1651.9762845849802</v>
      </c>
      <c r="U74" s="425">
        <f>(G74/'Population Figures'!U34)*1000</f>
        <v>51.713452424352901</v>
      </c>
      <c r="V74" s="425">
        <f>(H74/'Population Figures'!U34)*1000</f>
        <v>170.0145825738243</v>
      </c>
      <c r="W74" s="425">
        <f>(I74/'Population Figures'!U34)*1000</f>
        <v>40.339044841414513</v>
      </c>
      <c r="X74" s="500">
        <f>(J74/'Population Figures'!U34)*1000</f>
        <v>5.7601166605905947</v>
      </c>
      <c r="Y74" s="186">
        <f>(K74/'Population Figures'!U34)*1000</f>
        <v>0</v>
      </c>
      <c r="Z74" s="186">
        <f>(L74/'Population Figures'!U34)*1000</f>
        <v>0</v>
      </c>
      <c r="AA74" s="501">
        <f>(M74/'Population Figures'!U34)*1000</f>
        <v>37.513671162960264</v>
      </c>
    </row>
    <row r="75" spans="1:27">
      <c r="A75" s="7" t="s">
        <v>60</v>
      </c>
      <c r="B75" s="425">
        <v>75469</v>
      </c>
      <c r="C75" s="280">
        <v>2100</v>
      </c>
      <c r="D75" s="425">
        <v>42</v>
      </c>
      <c r="E75" s="425">
        <v>15386</v>
      </c>
      <c r="F75" s="280">
        <v>31268</v>
      </c>
      <c r="G75" s="425">
        <v>6221</v>
      </c>
      <c r="H75" s="425">
        <v>12844</v>
      </c>
      <c r="I75" s="425">
        <v>5417</v>
      </c>
      <c r="J75" s="425">
        <v>2095</v>
      </c>
      <c r="K75" s="280">
        <v>36</v>
      </c>
      <c r="L75" s="280">
        <v>49</v>
      </c>
      <c r="M75" s="280">
        <v>11</v>
      </c>
      <c r="O75" s="7" t="s">
        <v>60</v>
      </c>
      <c r="P75" s="425">
        <f>(B75*1000)/SUM('Population Figures'!$T35:$V35)</f>
        <v>830.05939287285526</v>
      </c>
      <c r="Q75" s="280">
        <f>(C75/SUM('Population Figures'!T35:V35))*1000</f>
        <v>23.097228332600086</v>
      </c>
      <c r="R75" s="425">
        <f>(D75/'Population Figures'!T35)*1000</f>
        <v>2.2426313541221701</v>
      </c>
      <c r="S75" s="425">
        <f>(E75/'Population Figures'!T35)*1000</f>
        <v>821.5506193934217</v>
      </c>
      <c r="T75" s="280">
        <f>(F75/'Population Figures'!V35)*1000</f>
        <v>2115.8478819867369</v>
      </c>
      <c r="U75" s="425">
        <f>(G75/'Population Figures'!U35)*1000</f>
        <v>108.35336329118334</v>
      </c>
      <c r="V75" s="425">
        <f>(H75/'Population Figures'!U35)*1000</f>
        <v>223.7085031525412</v>
      </c>
      <c r="W75" s="425">
        <f>(I75/'Population Figures'!U35)*1000</f>
        <v>94.349810150834301</v>
      </c>
      <c r="X75" s="500">
        <f>(J75/'Population Figures'!U35)*1000</f>
        <v>36.489357996307525</v>
      </c>
      <c r="Y75" s="186">
        <f>(K75/'Population Figures'!U35)*1000</f>
        <v>0.62702476747831537</v>
      </c>
      <c r="Z75" s="186">
        <f>(L75/'Population Figures'!U35)*1000</f>
        <v>0.85345037795659595</v>
      </c>
      <c r="AA75" s="501">
        <f>(M75/'Population Figures'!U35)*1000</f>
        <v>0.19159090117392968</v>
      </c>
    </row>
    <row r="76" spans="1:27">
      <c r="A76" s="7" t="s">
        <v>61</v>
      </c>
      <c r="B76" s="425">
        <v>83924</v>
      </c>
      <c r="C76" s="280">
        <v>3256</v>
      </c>
      <c r="D76" s="425">
        <v>95</v>
      </c>
      <c r="E76" s="425">
        <v>19442</v>
      </c>
      <c r="F76" s="280">
        <v>33134</v>
      </c>
      <c r="G76" s="425">
        <v>5167</v>
      </c>
      <c r="H76" s="425">
        <v>13875</v>
      </c>
      <c r="I76" s="425">
        <v>4299</v>
      </c>
      <c r="J76" s="425">
        <v>2082</v>
      </c>
      <c r="K76" s="280">
        <v>9</v>
      </c>
      <c r="L76" s="280">
        <v>0</v>
      </c>
      <c r="M76" s="280">
        <v>2565</v>
      </c>
      <c r="O76" s="7" t="s">
        <v>61</v>
      </c>
      <c r="P76" s="425">
        <f>(B76*1000)/SUM('Population Figures'!$T36:$V36)</f>
        <v>490.66884939195512</v>
      </c>
      <c r="Q76" s="280">
        <f>(C76/SUM('Population Figures'!T36:V36))*1000</f>
        <v>19.036482694106642</v>
      </c>
      <c r="R76" s="425">
        <f>(D76/'Population Figures'!T36)*1000</f>
        <v>2.4065254838382817</v>
      </c>
      <c r="S76" s="425">
        <f>(E76/'Population Figures'!T36)*1000</f>
        <v>492.50177322930386</v>
      </c>
      <c r="T76" s="280">
        <f>(F76/'Population Figures'!V36)*1000</f>
        <v>1456.7597274126181</v>
      </c>
      <c r="U76" s="425">
        <f>(G76/'Population Figures'!U36)*1000</f>
        <v>47.482516839890089</v>
      </c>
      <c r="V76" s="425">
        <f>(H76/'Population Figures'!U36)*1000</f>
        <v>127.50530697764178</v>
      </c>
      <c r="W76" s="425">
        <f>(I76/'Population Figures'!U36)*1000</f>
        <v>39.505968626802307</v>
      </c>
      <c r="X76" s="500">
        <f>(J76/'Population Figures'!U36)*1000</f>
        <v>19.132688225401814</v>
      </c>
      <c r="Y76" s="186">
        <f>(K76/'Population Figures'!U36)*1000</f>
        <v>8.2706145066578446E-2</v>
      </c>
      <c r="Z76" s="186">
        <f>(L76/'Population Figures'!U36)*1000</f>
        <v>0</v>
      </c>
      <c r="AA76" s="501">
        <f>(M76/'Population Figures'!U36)*1000</f>
        <v>23.571251343974858</v>
      </c>
    </row>
    <row r="77" spans="1:27">
      <c r="A77" s="52" t="s">
        <v>5</v>
      </c>
      <c r="B77" s="53">
        <f>SUM(B45:B76)</f>
        <v>3559328</v>
      </c>
      <c r="C77" s="52">
        <f t="shared" ref="C77:M77" si="3">SUM(C45:C76)</f>
        <v>33676</v>
      </c>
      <c r="D77" s="53">
        <f t="shared" si="3"/>
        <v>2824</v>
      </c>
      <c r="E77" s="53">
        <f t="shared" si="3"/>
        <v>765993</v>
      </c>
      <c r="F77" s="52">
        <f t="shared" si="3"/>
        <v>1597699</v>
      </c>
      <c r="G77" s="53">
        <f t="shared" si="3"/>
        <v>209802</v>
      </c>
      <c r="H77" s="53">
        <f t="shared" si="3"/>
        <v>632160</v>
      </c>
      <c r="I77" s="53">
        <f t="shared" si="3"/>
        <v>150360</v>
      </c>
      <c r="J77" s="53">
        <f t="shared" si="3"/>
        <v>53449</v>
      </c>
      <c r="K77" s="52">
        <f t="shared" si="3"/>
        <v>1841</v>
      </c>
      <c r="L77" s="52">
        <f t="shared" si="3"/>
        <v>2974</v>
      </c>
      <c r="M77" s="52">
        <f t="shared" si="3"/>
        <v>108550</v>
      </c>
      <c r="N77" s="1"/>
      <c r="O77" s="52" t="s">
        <v>5</v>
      </c>
      <c r="P77" s="53">
        <f>(B77*1000)/SUM('Population Figures'!$T37:$V37)</f>
        <v>685.27685791297654</v>
      </c>
      <c r="Q77" s="52">
        <f>(C77/SUM('Population Figures'!T37:V37))*1000</f>
        <v>6.4836349634193295</v>
      </c>
      <c r="R77" s="53">
        <f>(D77/'Population Figures'!T37)*1000</f>
        <v>2.7097904614224291</v>
      </c>
      <c r="S77" s="53">
        <f>(E77/'Population Figures'!T37)*1000</f>
        <v>735.01435018284371</v>
      </c>
      <c r="T77" s="52">
        <f>(F77/'Population Figures'!V37)*1000</f>
        <v>1839.5819516598503</v>
      </c>
      <c r="U77" s="53">
        <f>(G77/'Population Figures'!U37)*1000</f>
        <v>63.898937088776336</v>
      </c>
      <c r="V77" s="53">
        <f>(H77/'Population Figures'!U37)*1000</f>
        <v>192.53559103364532</v>
      </c>
      <c r="W77" s="53">
        <f>(I77/'Population Figures'!U37)*1000</f>
        <v>45.794816925808199</v>
      </c>
      <c r="X77" s="445">
        <f>(J77/'Population Figures'!U37)*1000</f>
        <v>16.278845237214167</v>
      </c>
      <c r="Y77" s="446">
        <f>(K77/'Population Figures'!U37)*1000</f>
        <v>0.56070935062791227</v>
      </c>
      <c r="Z77" s="446">
        <f>(L77/'Population Figures'!U37)*1000</f>
        <v>0.9057846870002233</v>
      </c>
      <c r="AA77" s="446">
        <f>(M77/'Population Figures'!U37)*1000</f>
        <v>33.060836507691405</v>
      </c>
    </row>
  </sheetData>
  <mergeCells count="4">
    <mergeCell ref="B1:M1"/>
    <mergeCell ref="O1:Z1"/>
    <mergeCell ref="B43:M43"/>
    <mergeCell ref="O43:Z43"/>
  </mergeCells>
  <phoneticPr fontId="5"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D77"/>
  <sheetViews>
    <sheetView zoomScale="85" zoomScaleNormal="85" workbookViewId="0">
      <selection activeCell="A2" sqref="A2"/>
    </sheetView>
  </sheetViews>
  <sheetFormatPr defaultRowHeight="12.75"/>
  <cols>
    <col min="1" max="1" width="31" customWidth="1"/>
    <col min="2" max="2" width="10.5703125" customWidth="1"/>
    <col min="3" max="3" width="9.28515625" bestFit="1" customWidth="1"/>
    <col min="4" max="4" width="10.5703125" customWidth="1"/>
    <col min="5" max="5" width="11.42578125" customWidth="1"/>
    <col min="6" max="6" width="9.28515625" bestFit="1" customWidth="1"/>
    <col min="7" max="13" width="11.42578125" customWidth="1"/>
    <col min="15" max="15" width="31" customWidth="1"/>
    <col min="16" max="16" width="10.5703125" customWidth="1"/>
    <col min="18" max="18" width="10.5703125" customWidth="1"/>
    <col min="19" max="19" width="11.42578125" customWidth="1"/>
    <col min="21" max="27" width="11.42578125" customWidth="1"/>
  </cols>
  <sheetData>
    <row r="1" spans="1:30">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30" ht="63.7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c r="AC2" s="169"/>
      <c r="AD2" s="169"/>
    </row>
    <row r="3" spans="1:30">
      <c r="A3" s="7" t="s">
        <v>31</v>
      </c>
      <c r="B3" s="425">
        <f>B45*$I$39</f>
        <v>161771.61083026309</v>
      </c>
      <c r="C3" s="280">
        <f t="shared" ref="C3:M3" si="0">C45*$I$39</f>
        <v>724.92775897523791</v>
      </c>
      <c r="D3" s="425">
        <f t="shared" si="0"/>
        <v>0</v>
      </c>
      <c r="E3" s="425">
        <f t="shared" si="0"/>
        <v>35811.017639876627</v>
      </c>
      <c r="F3" s="280">
        <f t="shared" si="0"/>
        <v>65997.381811755651</v>
      </c>
      <c r="G3" s="425">
        <f t="shared" si="0"/>
        <v>9779.8028767886244</v>
      </c>
      <c r="H3" s="425">
        <f t="shared" si="0"/>
        <v>31560.727926056046</v>
      </c>
      <c r="I3" s="425">
        <f t="shared" si="0"/>
        <v>9869.7725130665785</v>
      </c>
      <c r="J3" s="425">
        <f t="shared" si="0"/>
        <v>2271.991849455917</v>
      </c>
      <c r="K3" s="280">
        <f t="shared" si="0"/>
        <v>0</v>
      </c>
      <c r="L3" s="280">
        <f t="shared" si="0"/>
        <v>0</v>
      </c>
      <c r="M3" s="280">
        <f t="shared" si="0"/>
        <v>5755.9884542884083</v>
      </c>
      <c r="N3" s="233"/>
      <c r="O3" s="7" t="s">
        <v>31</v>
      </c>
      <c r="P3" s="8">
        <f>(B3*1000)/SUM('Population Figures'!$W5:$Y5)</f>
        <v>745.07926874660598</v>
      </c>
      <c r="Q3" s="280">
        <f>(C3*1000)/SUM('Population Figures'!$W5:$Y5)</f>
        <v>3.3388345568129973</v>
      </c>
      <c r="R3" s="8">
        <f>(D3*1000)/SUM('Population Figures'!$W5)</f>
        <v>0</v>
      </c>
      <c r="S3" s="8">
        <f>(E3*1000)/SUM('Population Figures'!$W5)</f>
        <v>929.69749058585705</v>
      </c>
      <c r="T3" s="7">
        <f>(F3*1000)/SUM('Population Figures'!$Y5)</f>
        <v>2055.6730045711151</v>
      </c>
      <c r="U3" s="8">
        <f>(G3*1000)/SUM('Population Figures'!$X5)</f>
        <v>66.758156378253489</v>
      </c>
      <c r="V3" s="8">
        <f>(H3*1000)/SUM('Population Figures'!$X5)</f>
        <v>215.43747219074956</v>
      </c>
      <c r="W3" s="8">
        <f>(I3*1000)/SUM('Population Figures'!$X5)</f>
        <v>67.372300356778197</v>
      </c>
      <c r="X3" s="185">
        <f>(J3*1000)/SUM('Population Figures'!$X5)</f>
        <v>15.508900239296068</v>
      </c>
      <c r="Y3" s="186">
        <f>(K3*1000)/SUM('Population Figures'!$X5)</f>
        <v>0</v>
      </c>
      <c r="Z3" s="186">
        <f>(L3*1000)/SUM('Population Figures'!$X5)</f>
        <v>0</v>
      </c>
      <c r="AA3" s="186">
        <f>(M3*1000)/SUM('Population Figures'!$X5)</f>
        <v>39.291096373200688</v>
      </c>
      <c r="AC3" s="233"/>
      <c r="AD3" s="121"/>
    </row>
    <row r="4" spans="1:30">
      <c r="A4" s="7" t="s">
        <v>32</v>
      </c>
      <c r="B4" s="425">
        <f t="shared" ref="B4:M35" si="1">B46*$I$39</f>
        <v>157170.74977508359</v>
      </c>
      <c r="C4" s="280">
        <f t="shared" si="1"/>
        <v>1085.840437837375</v>
      </c>
      <c r="D4" s="425">
        <f t="shared" si="1"/>
        <v>96.174438779881783</v>
      </c>
      <c r="E4" s="425">
        <f t="shared" si="1"/>
        <v>27406.612651015344</v>
      </c>
      <c r="F4" s="280">
        <f t="shared" si="1"/>
        <v>66924.999785793872</v>
      </c>
      <c r="G4" s="425">
        <f t="shared" si="1"/>
        <v>8217.2267800531245</v>
      </c>
      <c r="H4" s="425">
        <f t="shared" si="1"/>
        <v>41504.95806914576</v>
      </c>
      <c r="I4" s="425">
        <f t="shared" si="1"/>
        <v>5613.2779967440683</v>
      </c>
      <c r="J4" s="425">
        <f t="shared" si="1"/>
        <v>2671.1674770799423</v>
      </c>
      <c r="K4" s="280">
        <f t="shared" si="1"/>
        <v>0</v>
      </c>
      <c r="L4" s="280">
        <f t="shared" si="1"/>
        <v>0</v>
      </c>
      <c r="M4" s="280">
        <f t="shared" si="1"/>
        <v>3650.4921386342226</v>
      </c>
      <c r="N4" s="233"/>
      <c r="O4" s="7" t="s">
        <v>32</v>
      </c>
      <c r="P4" s="8">
        <f>(B4*1000)/SUM('Population Figures'!$W6:$Y6)</f>
        <v>639.47737722794204</v>
      </c>
      <c r="Q4" s="280">
        <f>(C4*1000)/SUM('Population Figures'!$W6:$Y6)</f>
        <v>4.4179365198037885</v>
      </c>
      <c r="R4" s="8">
        <f>(D4*1000)/SUM('Population Figures'!$W6)</f>
        <v>1.8171492041696289</v>
      </c>
      <c r="S4" s="8">
        <f>(E4*1000)/SUM('Population Figures'!$W6)</f>
        <v>517.82890547208069</v>
      </c>
      <c r="T4" s="7">
        <f>(F4*1000)/SUM('Population Figures'!$Y6)</f>
        <v>1672.2052817398899</v>
      </c>
      <c r="U4" s="8">
        <f>(G4*1000)/SUM('Population Figures'!$X6)</f>
        <v>53.766402193605558</v>
      </c>
      <c r="V4" s="8">
        <f>(H4*1000)/SUM('Population Figures'!$X6)</f>
        <v>271.57243292730425</v>
      </c>
      <c r="W4" s="8">
        <f>(I4*1000)/SUM('Population Figures'!$X6)</f>
        <v>36.72842072827725</v>
      </c>
      <c r="X4" s="185">
        <f>(J4*1000)/SUM('Population Figures'!$X6)</f>
        <v>17.477802273607246</v>
      </c>
      <c r="Y4" s="186">
        <f>(K4*1000)/SUM('Population Figures'!$X6)</f>
        <v>0</v>
      </c>
      <c r="Z4" s="186">
        <f>(L4*1000)/SUM('Population Figures'!$X6)</f>
        <v>0</v>
      </c>
      <c r="AA4" s="186">
        <f>(M4*1000)/SUM('Population Figures'!$X6)</f>
        <v>23.885653126532549</v>
      </c>
      <c r="AC4" s="233"/>
      <c r="AD4" s="121"/>
    </row>
    <row r="5" spans="1:30">
      <c r="A5" s="7" t="s">
        <v>33</v>
      </c>
      <c r="B5" s="425">
        <f t="shared" si="1"/>
        <v>76925.073151400924</v>
      </c>
      <c r="C5" s="280">
        <f t="shared" si="1"/>
        <v>405.3804301259533</v>
      </c>
      <c r="D5" s="425">
        <f t="shared" si="1"/>
        <v>126.16431753919976</v>
      </c>
      <c r="E5" s="425">
        <f t="shared" si="1"/>
        <v>15528.552394824783</v>
      </c>
      <c r="F5" s="280">
        <f t="shared" si="1"/>
        <v>38265.017029389091</v>
      </c>
      <c r="G5" s="425">
        <f t="shared" si="1"/>
        <v>4252.3579813212245</v>
      </c>
      <c r="H5" s="425">
        <f t="shared" si="1"/>
        <v>12477.857831376921</v>
      </c>
      <c r="I5" s="425">
        <f t="shared" si="1"/>
        <v>3199.6098234941314</v>
      </c>
      <c r="J5" s="425">
        <f t="shared" si="1"/>
        <v>1013.4510753148833</v>
      </c>
      <c r="K5" s="280">
        <f t="shared" si="1"/>
        <v>33.092280010281904</v>
      </c>
      <c r="L5" s="280">
        <f t="shared" si="1"/>
        <v>0</v>
      </c>
      <c r="M5" s="280">
        <f t="shared" si="1"/>
        <v>1623.589988004456</v>
      </c>
      <c r="N5" s="233"/>
      <c r="O5" s="7" t="s">
        <v>33</v>
      </c>
      <c r="P5" s="8">
        <f>(B5*1000)/SUM('Population Figures'!$W7:$Y7)</f>
        <v>695.71378449308963</v>
      </c>
      <c r="Q5" s="280">
        <f>(C5*1000)/SUM('Population Figures'!$W7:$Y7)</f>
        <v>3.6662786481500702</v>
      </c>
      <c r="R5" s="8">
        <f>(D5*1000)/SUM('Population Figures'!$W7)</f>
        <v>5.6540430912969324</v>
      </c>
      <c r="S5" s="8">
        <f>(E5*1000)/SUM('Population Figures'!$W7)</f>
        <v>695.910746384547</v>
      </c>
      <c r="T5" s="7">
        <f>(F5*1000)/SUM('Population Figures'!$Y7)</f>
        <v>1716.381852937521</v>
      </c>
      <c r="U5" s="8">
        <f>(G5*1000)/SUM('Population Figures'!$X7)</f>
        <v>64.466783622710423</v>
      </c>
      <c r="V5" s="8">
        <f>(H5*1000)/SUM('Population Figures'!$X7)</f>
        <v>189.16736653492802</v>
      </c>
      <c r="W5" s="8">
        <f>(I5*1000)/SUM('Population Figures'!$X7)</f>
        <v>48.506864914558854</v>
      </c>
      <c r="X5" s="185">
        <f>(J5*1000)/SUM('Population Figures'!$X7)</f>
        <v>15.364165357552579</v>
      </c>
      <c r="Y5" s="186">
        <f>(K5*1000)/SUM('Population Figures'!$X7)</f>
        <v>0.50168703208334953</v>
      </c>
      <c r="Z5" s="186">
        <f>(L5*1000)/SUM('Population Figures'!$X7)</f>
        <v>0</v>
      </c>
      <c r="AA5" s="186">
        <f>(M5*1000)/SUM('Population Figures'!$X7)</f>
        <v>24.614020011589339</v>
      </c>
      <c r="AC5" s="233"/>
      <c r="AD5" s="121"/>
    </row>
    <row r="6" spans="1:30">
      <c r="A6" s="7" t="s">
        <v>34</v>
      </c>
      <c r="B6" s="425">
        <f t="shared" si="1"/>
        <v>60803.962117642033</v>
      </c>
      <c r="C6" s="280">
        <f t="shared" si="1"/>
        <v>196.4854125610488</v>
      </c>
      <c r="D6" s="425">
        <f t="shared" si="1"/>
        <v>61.013891268957259</v>
      </c>
      <c r="E6" s="425">
        <f t="shared" si="1"/>
        <v>11386.846724787938</v>
      </c>
      <c r="F6" s="280">
        <f t="shared" si="1"/>
        <v>33747.920807985611</v>
      </c>
      <c r="G6" s="425">
        <f t="shared" si="1"/>
        <v>907.96943278210972</v>
      </c>
      <c r="H6" s="425">
        <f t="shared" si="1"/>
        <v>11623.663353611519</v>
      </c>
      <c r="I6" s="425">
        <f t="shared" si="1"/>
        <v>2431.2484470053987</v>
      </c>
      <c r="J6" s="425">
        <f t="shared" si="1"/>
        <v>357.81027761117309</v>
      </c>
      <c r="K6" s="280">
        <f t="shared" si="1"/>
        <v>0</v>
      </c>
      <c r="L6" s="280">
        <f t="shared" si="1"/>
        <v>0</v>
      </c>
      <c r="M6" s="280">
        <f t="shared" si="1"/>
        <v>91.003770028275241</v>
      </c>
      <c r="N6" s="233"/>
      <c r="O6" s="7" t="s">
        <v>34</v>
      </c>
      <c r="P6" s="8">
        <f>(B6*1000)/SUM('Population Figures'!$W8:$Y8)</f>
        <v>681.65876813500029</v>
      </c>
      <c r="Q6" s="280">
        <f>(C6*1000)/SUM('Population Figures'!$W8:$Y8)</f>
        <v>2.2027512618951661</v>
      </c>
      <c r="R6" s="8">
        <f>(D6*1000)/SUM('Population Figures'!$W8)</f>
        <v>3.6895380824186526</v>
      </c>
      <c r="S6" s="8">
        <f>(E6*1000)/SUM('Population Figures'!$W8)</f>
        <v>688.56786144935222</v>
      </c>
      <c r="T6" s="7">
        <f>(F6*1000)/SUM('Population Figures'!$Y8)</f>
        <v>1743.8983468367926</v>
      </c>
      <c r="U6" s="8">
        <f>(G6*1000)/SUM('Population Figures'!$X8)</f>
        <v>17.031558829924588</v>
      </c>
      <c r="V6" s="8">
        <f>(H6*1000)/SUM('Population Figures'!$X8)</f>
        <v>218.034990032292</v>
      </c>
      <c r="W6" s="8">
        <f>(I6*1000)/SUM('Population Figures'!$X8)</f>
        <v>45.605005477394883</v>
      </c>
      <c r="X6" s="185">
        <f>(J6*1000)/SUM('Population Figures'!$X8)</f>
        <v>6.7117532518837217</v>
      </c>
      <c r="Y6" s="186">
        <f>(K6*1000)/SUM('Population Figures'!$X8)</f>
        <v>0</v>
      </c>
      <c r="Z6" s="186">
        <f>(L6*1000)/SUM('Population Figures'!$X8)</f>
        <v>0</v>
      </c>
      <c r="AA6" s="186">
        <f>(M6*1000)/SUM('Population Figures'!$X8)</f>
        <v>1.707035509149617</v>
      </c>
      <c r="AC6" s="233"/>
      <c r="AD6" s="121"/>
    </row>
    <row r="7" spans="1:30">
      <c r="A7" s="7" t="s">
        <v>35</v>
      </c>
      <c r="B7" s="425">
        <f t="shared" si="1"/>
        <v>36826.536982692152</v>
      </c>
      <c r="C7" s="280">
        <f t="shared" si="1"/>
        <v>57.91149001799333</v>
      </c>
      <c r="D7" s="425">
        <f t="shared" si="1"/>
        <v>48.60428626510155</v>
      </c>
      <c r="E7" s="425">
        <f t="shared" si="1"/>
        <v>8898.7209215148687</v>
      </c>
      <c r="F7" s="280">
        <f t="shared" si="1"/>
        <v>15549.235069831209</v>
      </c>
      <c r="G7" s="425">
        <f t="shared" si="1"/>
        <v>3488.133139833777</v>
      </c>
      <c r="H7" s="425">
        <f t="shared" si="1"/>
        <v>4557.4274376660105</v>
      </c>
      <c r="I7" s="425">
        <f t="shared" si="1"/>
        <v>2221.319295690173</v>
      </c>
      <c r="J7" s="425">
        <f t="shared" si="1"/>
        <v>208.89501756490452</v>
      </c>
      <c r="K7" s="280">
        <f t="shared" si="1"/>
        <v>0</v>
      </c>
      <c r="L7" s="280">
        <f t="shared" si="1"/>
        <v>0</v>
      </c>
      <c r="M7" s="280">
        <f t="shared" si="1"/>
        <v>1796.2903243081146</v>
      </c>
      <c r="N7" s="233"/>
      <c r="O7" s="7" t="s">
        <v>35</v>
      </c>
      <c r="P7" s="8">
        <f>(B7*1000)/SUM('Population Figures'!$W9:$Y9)</f>
        <v>727.3659289490846</v>
      </c>
      <c r="Q7" s="280">
        <f>(C7*1000)/SUM('Population Figures'!$W9:$Y9)</f>
        <v>1.1438176973729672</v>
      </c>
      <c r="R7" s="8">
        <f>(D7*1000)/SUM('Population Figures'!$W9)</f>
        <v>4.4958178027103459</v>
      </c>
      <c r="S7" s="8">
        <f>(E7*1000)/SUM('Population Figures'!$W9)</f>
        <v>823.11728068771333</v>
      </c>
      <c r="T7" s="7">
        <f>(F7*1000)/SUM('Population Figures'!$Y9)</f>
        <v>1921.7939772378209</v>
      </c>
      <c r="U7" s="8">
        <f>(G7*1000)/SUM('Population Figures'!$X9)</f>
        <v>109.93863905174537</v>
      </c>
      <c r="V7" s="8">
        <f>(H7*1000)/SUM('Population Figures'!$X9)</f>
        <v>143.64055212008353</v>
      </c>
      <c r="W7" s="8">
        <f>(I7*1000)/SUM('Population Figures'!$X9)</f>
        <v>70.0113242464124</v>
      </c>
      <c r="X7" s="185">
        <f>(J7*1000)/SUM('Population Figures'!$X9)</f>
        <v>6.583932727083476</v>
      </c>
      <c r="Y7" s="186">
        <f>(K7*1000)/SUM('Population Figures'!$X9)</f>
        <v>0</v>
      </c>
      <c r="Z7" s="186">
        <f>(L7*1000)/SUM('Population Figures'!$X9)</f>
        <v>0</v>
      </c>
      <c r="AA7" s="186">
        <f>(M7*1000)/SUM('Population Figures'!$X9)</f>
        <v>56.615302707643551</v>
      </c>
      <c r="AC7" s="233"/>
      <c r="AD7" s="121"/>
    </row>
    <row r="8" spans="1:30">
      <c r="A8" s="7" t="s">
        <v>36</v>
      </c>
      <c r="B8" s="425">
        <f t="shared" si="1"/>
        <v>109452.71613400739</v>
      </c>
      <c r="C8" s="280">
        <f t="shared" si="1"/>
        <v>3238.9069060063412</v>
      </c>
      <c r="D8" s="425">
        <f t="shared" si="1"/>
        <v>124.09605003855714</v>
      </c>
      <c r="E8" s="425">
        <f t="shared" si="1"/>
        <v>21799.539456773204</v>
      </c>
      <c r="F8" s="280">
        <f t="shared" si="1"/>
        <v>53128.621422757278</v>
      </c>
      <c r="G8" s="425">
        <f t="shared" si="1"/>
        <v>6898.706248393456</v>
      </c>
      <c r="H8" s="425">
        <f t="shared" si="1"/>
        <v>16588.539488904127</v>
      </c>
      <c r="I8" s="425">
        <f t="shared" si="1"/>
        <v>3738.3935074115338</v>
      </c>
      <c r="J8" s="425">
        <f t="shared" si="1"/>
        <v>524.30581141290395</v>
      </c>
      <c r="K8" s="280">
        <f t="shared" si="1"/>
        <v>0</v>
      </c>
      <c r="L8" s="280">
        <f t="shared" si="1"/>
        <v>0</v>
      </c>
      <c r="M8" s="280">
        <f t="shared" si="1"/>
        <v>3411.6072423099999</v>
      </c>
      <c r="N8" s="233"/>
      <c r="O8" s="7" t="s">
        <v>36</v>
      </c>
      <c r="P8" s="8">
        <f>(B8*1000)/SUM('Population Figures'!$W10:$Y10)</f>
        <v>738.59718020114303</v>
      </c>
      <c r="Q8" s="280">
        <f>(C8*1000)/SUM('Population Figures'!$W10:$Y10)</f>
        <v>21.8564471692175</v>
      </c>
      <c r="R8" s="8">
        <f>(D8*1000)/SUM('Population Figures'!$W10)</f>
        <v>4.4079156764308296</v>
      </c>
      <c r="S8" s="8">
        <f>(E8*1000)/SUM('Population Figures'!$W10)</f>
        <v>774.32385382634902</v>
      </c>
      <c r="T8" s="7">
        <f>(F8*1000)/SUM('Population Figures'!$Y10)</f>
        <v>1617.3588670205265</v>
      </c>
      <c r="U8" s="8">
        <f>(G8*1000)/SUM('Population Figures'!$X10)</f>
        <v>79.124492457602614</v>
      </c>
      <c r="V8" s="8">
        <f>(H8*1000)/SUM('Population Figures'!$X10)</f>
        <v>190.26172740404789</v>
      </c>
      <c r="W8" s="8">
        <f>(I8*1000)/SUM('Population Figures'!$X10)</f>
        <v>42.877385734407646</v>
      </c>
      <c r="X8" s="185">
        <f>(J8*1000)/SUM('Population Figures'!$X10)</f>
        <v>6.0135088706347659</v>
      </c>
      <c r="Y8" s="186">
        <f>(K8*1000)/SUM('Population Figures'!$X10)</f>
        <v>0</v>
      </c>
      <c r="Z8" s="186">
        <f>(L8*1000)/SUM('Population Figures'!$X10)</f>
        <v>0</v>
      </c>
      <c r="AA8" s="186">
        <f>(M8*1000)/SUM('Population Figures'!$X10)</f>
        <v>39.129321033972566</v>
      </c>
      <c r="AC8" s="233"/>
      <c r="AD8" s="121"/>
    </row>
    <row r="9" spans="1:30">
      <c r="A9" s="7" t="s">
        <v>37</v>
      </c>
      <c r="B9" s="425">
        <f t="shared" si="1"/>
        <v>118631.68730185935</v>
      </c>
      <c r="C9" s="280">
        <f t="shared" si="1"/>
        <v>955.53958529688998</v>
      </c>
      <c r="D9" s="425">
        <f t="shared" si="1"/>
        <v>255.43103632936345</v>
      </c>
      <c r="E9" s="425">
        <f t="shared" si="1"/>
        <v>30728.250257047392</v>
      </c>
      <c r="F9" s="280">
        <f t="shared" si="1"/>
        <v>49888.68038300061</v>
      </c>
      <c r="G9" s="425">
        <f t="shared" si="1"/>
        <v>7819.085286179421</v>
      </c>
      <c r="H9" s="425">
        <f t="shared" si="1"/>
        <v>18126.296375631911</v>
      </c>
      <c r="I9" s="425">
        <f t="shared" si="1"/>
        <v>4122.0571287807397</v>
      </c>
      <c r="J9" s="425">
        <f t="shared" si="1"/>
        <v>1139.615392854083</v>
      </c>
      <c r="K9" s="280">
        <f t="shared" si="1"/>
        <v>237.85076257390119</v>
      </c>
      <c r="L9" s="280">
        <f t="shared" si="1"/>
        <v>0</v>
      </c>
      <c r="M9" s="280">
        <f t="shared" si="1"/>
        <v>5358.8810941650254</v>
      </c>
      <c r="N9" s="233"/>
      <c r="O9" s="7" t="s">
        <v>37</v>
      </c>
      <c r="P9" s="8">
        <f>(B9*1000)/SUM('Population Figures'!$W11:$Y11)</f>
        <v>822.17539193193807</v>
      </c>
      <c r="Q9" s="280">
        <f>(C9*1000)/SUM('Population Figures'!$W11:$Y11)</f>
        <v>6.6223548776553471</v>
      </c>
      <c r="R9" s="8">
        <f>(D9*1000)/SUM('Population Figures'!$W11)</f>
        <v>9.3609057913791709</v>
      </c>
      <c r="S9" s="8">
        <f>(E9*1000)/SUM('Population Figures'!$W11)</f>
        <v>1126.113176862513</v>
      </c>
      <c r="T9" s="7">
        <f>(F9*1000)/SUM('Population Figures'!$Y11)</f>
        <v>1944.9019680714441</v>
      </c>
      <c r="U9" s="8">
        <f>(G9*1000)/SUM('Population Figures'!$X11)</f>
        <v>85.592929395956531</v>
      </c>
      <c r="V9" s="8">
        <f>(H9*1000)/SUM('Population Figures'!$X11)</f>
        <v>198.42254549032216</v>
      </c>
      <c r="W9" s="8">
        <f>(I9*1000)/SUM('Population Figures'!$X11)</f>
        <v>45.122790182817454</v>
      </c>
      <c r="X9" s="185">
        <f>(J9*1000)/SUM('Population Figures'!$X11)</f>
        <v>12.474991164441754</v>
      </c>
      <c r="Y9" s="186">
        <f>(K9*1000)/SUM('Population Figures'!$X11)</f>
        <v>2.6036732920341228</v>
      </c>
      <c r="Z9" s="186">
        <f>(L9*1000)/SUM('Population Figures'!$X11)</f>
        <v>0</v>
      </c>
      <c r="AA9" s="186">
        <f>(M9*1000)/SUM('Population Figures'!$X11)</f>
        <v>58.661891301394881</v>
      </c>
      <c r="AC9" s="233"/>
      <c r="AD9" s="121"/>
    </row>
    <row r="10" spans="1:30">
      <c r="A10" s="7" t="s">
        <v>38</v>
      </c>
      <c r="B10" s="425">
        <f t="shared" si="1"/>
        <v>85407.038171536304</v>
      </c>
      <c r="C10" s="280">
        <f t="shared" si="1"/>
        <v>492.24766515294334</v>
      </c>
      <c r="D10" s="425">
        <f t="shared" si="1"/>
        <v>73.423496272812969</v>
      </c>
      <c r="E10" s="425">
        <f t="shared" si="1"/>
        <v>20387.946887584618</v>
      </c>
      <c r="F10" s="280">
        <f t="shared" si="1"/>
        <v>41461.524451632264</v>
      </c>
      <c r="G10" s="425">
        <f t="shared" si="1"/>
        <v>3949.3567924770809</v>
      </c>
      <c r="H10" s="425">
        <f t="shared" si="1"/>
        <v>12996.992974038218</v>
      </c>
      <c r="I10" s="425">
        <f t="shared" si="1"/>
        <v>2915.2230421557715</v>
      </c>
      <c r="J10" s="425">
        <f t="shared" si="1"/>
        <v>495.35006640390725</v>
      </c>
      <c r="K10" s="280">
        <f t="shared" si="1"/>
        <v>0</v>
      </c>
      <c r="L10" s="280">
        <f t="shared" si="1"/>
        <v>0</v>
      </c>
      <c r="M10" s="280">
        <f t="shared" si="1"/>
        <v>2634.9727958186968</v>
      </c>
      <c r="N10" s="233"/>
      <c r="O10" s="7" t="s">
        <v>38</v>
      </c>
      <c r="P10" s="8">
        <f>(B10*1000)/SUM('Population Figures'!$W12:$Y12)</f>
        <v>710.3047086787783</v>
      </c>
      <c r="Q10" s="280">
        <f>(C10*1000)/SUM('Population Figures'!$W12:$Y12)</f>
        <v>4.0938761240264752</v>
      </c>
      <c r="R10" s="8">
        <f>(D10*1000)/SUM('Population Figures'!$W12)</f>
        <v>3.0204243807977695</v>
      </c>
      <c r="S10" s="8">
        <f>(E10*1000)/SUM('Population Figures'!$W12)</f>
        <v>838.69953052715539</v>
      </c>
      <c r="T10" s="7">
        <f>(F10*1000)/SUM('Population Figures'!$Y12)</f>
        <v>1959.707163191013</v>
      </c>
      <c r="U10" s="8">
        <f>(G10*1000)/SUM('Population Figures'!$X12)</f>
        <v>52.817246535922663</v>
      </c>
      <c r="V10" s="8">
        <f>(H10*1000)/SUM('Population Figures'!$X12)</f>
        <v>173.81700823866876</v>
      </c>
      <c r="W10" s="8">
        <f>(I10*1000)/SUM('Population Figures'!$X12)</f>
        <v>38.987121755633929</v>
      </c>
      <c r="X10" s="185">
        <f>(J10*1000)/SUM('Population Figures'!$X12)</f>
        <v>6.6246297697583021</v>
      </c>
      <c r="Y10" s="186">
        <f>(K10*1000)/SUM('Population Figures'!$X12)</f>
        <v>0</v>
      </c>
      <c r="Z10" s="186">
        <f>(L10*1000)/SUM('Population Figures'!$X12)</f>
        <v>0</v>
      </c>
      <c r="AA10" s="186">
        <f>(M10*1000)/SUM('Population Figures'!$X12)</f>
        <v>35.239157940175687</v>
      </c>
      <c r="AC10" s="233"/>
      <c r="AD10" s="121"/>
    </row>
    <row r="11" spans="1:30">
      <c r="A11" s="7" t="s">
        <v>39</v>
      </c>
      <c r="B11" s="425">
        <f t="shared" si="1"/>
        <v>55203.093725901825</v>
      </c>
      <c r="C11" s="280">
        <f t="shared" si="1"/>
        <v>1487.0843329620432</v>
      </c>
      <c r="D11" s="425">
        <f t="shared" si="1"/>
        <v>3.1024012509639283</v>
      </c>
      <c r="E11" s="425">
        <f t="shared" si="1"/>
        <v>10276.187076942853</v>
      </c>
      <c r="F11" s="280">
        <f t="shared" si="1"/>
        <v>25350.75475537658</v>
      </c>
      <c r="G11" s="425">
        <f t="shared" si="1"/>
        <v>3921.4351812184054</v>
      </c>
      <c r="H11" s="425">
        <f t="shared" si="1"/>
        <v>11051.787389683835</v>
      </c>
      <c r="I11" s="425">
        <f t="shared" si="1"/>
        <v>2529.4911532859232</v>
      </c>
      <c r="J11" s="425">
        <f t="shared" si="1"/>
        <v>583.25143518121854</v>
      </c>
      <c r="K11" s="280">
        <f t="shared" si="1"/>
        <v>0</v>
      </c>
      <c r="L11" s="280">
        <f t="shared" si="1"/>
        <v>0</v>
      </c>
      <c r="M11" s="280">
        <f t="shared" si="1"/>
        <v>0</v>
      </c>
      <c r="N11" s="233"/>
      <c r="O11" s="7" t="s">
        <v>39</v>
      </c>
      <c r="P11" s="8">
        <f>(B11*1000)/SUM('Population Figures'!$W13:$Y13)</f>
        <v>527.85517045230279</v>
      </c>
      <c r="Q11" s="280">
        <f>(C11*1000)/SUM('Population Figures'!$W13:$Y13)</f>
        <v>14.219586278084176</v>
      </c>
      <c r="R11" s="8">
        <f>(D11*1000)/SUM('Population Figures'!$W13)</f>
        <v>0.14421723926013055</v>
      </c>
      <c r="S11" s="8">
        <f>(E11*1000)/SUM('Population Figures'!$W13)</f>
        <v>477.69556884263915</v>
      </c>
      <c r="T11" s="7">
        <f>(F11*1000)/SUM('Population Figures'!$Y13)</f>
        <v>1278.9201268982233</v>
      </c>
      <c r="U11" s="8">
        <f>(G11*1000)/SUM('Population Figures'!$X13)</f>
        <v>62.002896328912584</v>
      </c>
      <c r="V11" s="8">
        <f>(H11*1000)/SUM('Population Figures'!$X13)</f>
        <v>174.7428673700129</v>
      </c>
      <c r="W11" s="8">
        <f>(I11*1000)/SUM('Population Figures'!$X13)</f>
        <v>39.99448428811187</v>
      </c>
      <c r="X11" s="185">
        <f>(J11*1000)/SUM('Population Figures'!$X13)</f>
        <v>9.2219497704395312</v>
      </c>
      <c r="Y11" s="186">
        <f>(K11*1000)/SUM('Population Figures'!$X13)</f>
        <v>0</v>
      </c>
      <c r="Z11" s="186">
        <f>(L11*1000)/SUM('Population Figures'!$X13)</f>
        <v>0</v>
      </c>
      <c r="AA11" s="186">
        <f>(M11*1000)/SUM('Population Figures'!$X13)</f>
        <v>0</v>
      </c>
      <c r="AC11" s="233"/>
      <c r="AD11" s="121"/>
    </row>
    <row r="12" spans="1:30">
      <c r="A12" s="7" t="s">
        <v>40</v>
      </c>
      <c r="B12" s="425">
        <f t="shared" si="1"/>
        <v>61174.18200025706</v>
      </c>
      <c r="C12" s="280">
        <f t="shared" si="1"/>
        <v>877.97955402279172</v>
      </c>
      <c r="D12" s="425">
        <f t="shared" si="1"/>
        <v>47.57015251478024</v>
      </c>
      <c r="E12" s="425">
        <f t="shared" si="1"/>
        <v>11325.832833518982</v>
      </c>
      <c r="F12" s="280">
        <f t="shared" si="1"/>
        <v>30130.520949361675</v>
      </c>
      <c r="G12" s="425">
        <f t="shared" si="1"/>
        <v>4303.0305350869685</v>
      </c>
      <c r="H12" s="425">
        <f t="shared" si="1"/>
        <v>10609.178144546315</v>
      </c>
      <c r="I12" s="425">
        <f t="shared" si="1"/>
        <v>1688.7404142746984</v>
      </c>
      <c r="J12" s="425">
        <f t="shared" si="1"/>
        <v>1195.4586153714338</v>
      </c>
      <c r="K12" s="280">
        <f t="shared" si="1"/>
        <v>0</v>
      </c>
      <c r="L12" s="280">
        <f t="shared" si="1"/>
        <v>0</v>
      </c>
      <c r="M12" s="280">
        <f t="shared" si="1"/>
        <v>995.87080155942101</v>
      </c>
      <c r="N12" s="233"/>
      <c r="O12" s="7" t="s">
        <v>40</v>
      </c>
      <c r="P12" s="8">
        <f>(B12*1000)/SUM('Population Figures'!$W14:$Y14)</f>
        <v>627.42750769494421</v>
      </c>
      <c r="Q12" s="280">
        <f>(C12*1000)/SUM('Population Figures'!$W14:$Y14)</f>
        <v>9.0049185027978638</v>
      </c>
      <c r="R12" s="8">
        <f>(D12*1000)/SUM('Population Figures'!$W14)</f>
        <v>2.2283189298660409</v>
      </c>
      <c r="S12" s="8">
        <f>(E12*1000)/SUM('Population Figures'!$W14)</f>
        <v>530.53367217158427</v>
      </c>
      <c r="T12" s="7">
        <f>(F12*1000)/SUM('Population Figures'!$Y14)</f>
        <v>1718.601468706461</v>
      </c>
      <c r="U12" s="8">
        <f>(G12*1000)/SUM('Population Figures'!$X14)</f>
        <v>73.405502133861631</v>
      </c>
      <c r="V12" s="8">
        <f>(H12*1000)/SUM('Population Figures'!$X14)</f>
        <v>180.98222696257787</v>
      </c>
      <c r="W12" s="8">
        <f>(I12*1000)/SUM('Population Figures'!$X14)</f>
        <v>28.80826363484644</v>
      </c>
      <c r="X12" s="185">
        <f>(J12*1000)/SUM('Population Figures'!$X14)</f>
        <v>20.393357478188907</v>
      </c>
      <c r="Y12" s="186">
        <f>(K12*1000)/SUM('Population Figures'!$X14)</f>
        <v>0</v>
      </c>
      <c r="Z12" s="186">
        <f>(L12*1000)/SUM('Population Figures'!$X14)</f>
        <v>0</v>
      </c>
      <c r="AA12" s="186">
        <f>(M12*1000)/SUM('Population Figures'!$X14)</f>
        <v>16.988584127591626</v>
      </c>
      <c r="AC12" s="233"/>
      <c r="AD12" s="121"/>
    </row>
    <row r="13" spans="1:30">
      <c r="A13" s="7" t="s">
        <v>41</v>
      </c>
      <c r="B13" s="425">
        <f t="shared" si="1"/>
        <v>49270.268400308472</v>
      </c>
      <c r="C13" s="280">
        <f t="shared" si="1"/>
        <v>1567.7467654871052</v>
      </c>
      <c r="D13" s="425">
        <f t="shared" si="1"/>
        <v>0</v>
      </c>
      <c r="E13" s="425">
        <f t="shared" si="1"/>
        <v>6407.4927169908333</v>
      </c>
      <c r="F13" s="280">
        <f t="shared" si="1"/>
        <v>23278.350719732676</v>
      </c>
      <c r="G13" s="425">
        <f t="shared" si="1"/>
        <v>3174.7906134864202</v>
      </c>
      <c r="H13" s="425">
        <f t="shared" si="1"/>
        <v>10636.065622054668</v>
      </c>
      <c r="I13" s="425">
        <f t="shared" si="1"/>
        <v>2071.3699018935831</v>
      </c>
      <c r="J13" s="425">
        <f t="shared" si="1"/>
        <v>598.76344143603819</v>
      </c>
      <c r="K13" s="280">
        <f t="shared" si="1"/>
        <v>0</v>
      </c>
      <c r="L13" s="280">
        <f t="shared" si="1"/>
        <v>0</v>
      </c>
      <c r="M13" s="280">
        <f t="shared" si="1"/>
        <v>1535.6886192271445</v>
      </c>
      <c r="N13" s="233"/>
      <c r="O13" s="7" t="s">
        <v>41</v>
      </c>
      <c r="P13" s="8">
        <f>(B13*1000)/SUM('Population Figures'!$W15:$Y15)</f>
        <v>550.2598659851293</v>
      </c>
      <c r="Q13" s="280">
        <f>(C13*1000)/SUM('Population Figures'!$W15:$Y15)</f>
        <v>17.508898430724873</v>
      </c>
      <c r="R13" s="8">
        <f>(D13*1000)/SUM('Population Figures'!$W15)</f>
        <v>0</v>
      </c>
      <c r="S13" s="8">
        <f>(E13*1000)/SUM('Population Figures'!$W15)</f>
        <v>316.71655958631965</v>
      </c>
      <c r="T13" s="7">
        <f>(F13*1000)/SUM('Population Figures'!$Y15)</f>
        <v>1445.9501037165462</v>
      </c>
      <c r="U13" s="8">
        <f>(G13*1000)/SUM('Population Figures'!$X15)</f>
        <v>59.665300009141525</v>
      </c>
      <c r="V13" s="8">
        <f>(H13*1000)/SUM('Population Figures'!$X15)</f>
        <v>199.8884725061956</v>
      </c>
      <c r="W13" s="8">
        <f>(I13*1000)/SUM('Population Figures'!$X15)</f>
        <v>38.928207139514811</v>
      </c>
      <c r="X13" s="185">
        <f>(J13*1000)/SUM('Population Figures'!$X15)</f>
        <v>11.252836711821805</v>
      </c>
      <c r="Y13" s="186">
        <f>(K13*1000)/SUM('Population Figures'!$X15)</f>
        <v>0</v>
      </c>
      <c r="Z13" s="186">
        <f>(L13*1000)/SUM('Population Figures'!$X15)</f>
        <v>0</v>
      </c>
      <c r="AA13" s="186">
        <f>(M13*1000)/SUM('Population Figures'!$X15)</f>
        <v>28.860902447418614</v>
      </c>
      <c r="AC13" s="233"/>
      <c r="AD13" s="121"/>
    </row>
    <row r="14" spans="1:30">
      <c r="A14" s="7" t="s">
        <v>140</v>
      </c>
      <c r="B14" s="425">
        <f t="shared" si="1"/>
        <v>326188.5357938481</v>
      </c>
      <c r="C14" s="280">
        <f t="shared" si="1"/>
        <v>1232.6874303830009</v>
      </c>
      <c r="D14" s="425">
        <f t="shared" si="1"/>
        <v>207.86088381458322</v>
      </c>
      <c r="E14" s="425">
        <f t="shared" si="1"/>
        <v>89018.233227658318</v>
      </c>
      <c r="F14" s="280">
        <f t="shared" si="1"/>
        <v>126431.12404678266</v>
      </c>
      <c r="G14" s="425">
        <f t="shared" si="1"/>
        <v>20449.994912603896</v>
      </c>
      <c r="H14" s="425">
        <f t="shared" si="1"/>
        <v>52832.859170165379</v>
      </c>
      <c r="I14" s="425">
        <f t="shared" si="1"/>
        <v>14484.077307000261</v>
      </c>
      <c r="J14" s="425">
        <f t="shared" si="1"/>
        <v>3997.9610787421825</v>
      </c>
      <c r="K14" s="280">
        <f t="shared" si="1"/>
        <v>1644.2726630108821</v>
      </c>
      <c r="L14" s="280">
        <f t="shared" si="1"/>
        <v>338.16173635506823</v>
      </c>
      <c r="M14" s="280">
        <f t="shared" si="1"/>
        <v>15551.303337331852</v>
      </c>
      <c r="N14" s="233"/>
      <c r="O14" s="7" t="s">
        <v>140</v>
      </c>
      <c r="P14" s="8">
        <f>(B14*1000)/SUM('Population Figures'!$W16:$Y16)</f>
        <v>671.0041467000907</v>
      </c>
      <c r="Q14" s="280">
        <f>(C14*1000)/SUM('Population Figures'!$W16:$Y16)</f>
        <v>2.53576777417716</v>
      </c>
      <c r="R14" s="8">
        <f>(D14*1000)/SUM('Population Figures'!$W16)</f>
        <v>2.529859959039753</v>
      </c>
      <c r="S14" s="8">
        <f>(E14*1000)/SUM('Population Figures'!$W16)</f>
        <v>1083.434553602696</v>
      </c>
      <c r="T14" s="7">
        <f>(F14*1000)/SUM('Population Figures'!$Y16)</f>
        <v>1821.957892680568</v>
      </c>
      <c r="U14" s="8">
        <f>(G14*1000)/SUM('Population Figures'!$X16)</f>
        <v>61.124313771367795</v>
      </c>
      <c r="V14" s="8">
        <f>(H14*1000)/SUM('Population Figures'!$X16)</f>
        <v>157.91555328775772</v>
      </c>
      <c r="W14" s="8">
        <f>(I14*1000)/SUM('Population Figures'!$X16)</f>
        <v>43.292396393515922</v>
      </c>
      <c r="X14" s="185">
        <f>(J14*1000)/SUM('Population Figures'!$X16)</f>
        <v>11.949764704935923</v>
      </c>
      <c r="Y14" s="186">
        <f>(K14*1000)/SUM('Population Figures'!$X16)</f>
        <v>4.9146730162566268</v>
      </c>
      <c r="Z14" s="186">
        <f>(L14*1000)/SUM('Population Figures'!$X16)</f>
        <v>1.0107535071169289</v>
      </c>
      <c r="AA14" s="186">
        <f>(M14*1000)/SUM('Population Figures'!$X16)</f>
        <v>46.48229737010513</v>
      </c>
      <c r="AC14" s="233"/>
      <c r="AD14" s="121"/>
    </row>
    <row r="15" spans="1:30">
      <c r="A15" s="7" t="s">
        <v>42</v>
      </c>
      <c r="B15" s="425">
        <f t="shared" si="1"/>
        <v>29329.067292862659</v>
      </c>
      <c r="C15" s="280">
        <f t="shared" si="1"/>
        <v>579.11490017993333</v>
      </c>
      <c r="D15" s="425">
        <f t="shared" si="1"/>
        <v>28.955745008996665</v>
      </c>
      <c r="E15" s="425">
        <f t="shared" si="1"/>
        <v>5044.5044340673476</v>
      </c>
      <c r="F15" s="280">
        <f t="shared" si="1"/>
        <v>16817.083047725137</v>
      </c>
      <c r="G15" s="425">
        <f t="shared" si="1"/>
        <v>1415.7291041898727</v>
      </c>
      <c r="H15" s="425">
        <f t="shared" si="1"/>
        <v>3831.4655449404518</v>
      </c>
      <c r="I15" s="425">
        <f t="shared" si="1"/>
        <v>1095.1476415902669</v>
      </c>
      <c r="J15" s="425">
        <f t="shared" si="1"/>
        <v>161.32486505012429</v>
      </c>
      <c r="K15" s="280">
        <f t="shared" si="1"/>
        <v>0</v>
      </c>
      <c r="L15" s="280">
        <f t="shared" si="1"/>
        <v>0</v>
      </c>
      <c r="M15" s="280">
        <f t="shared" si="1"/>
        <v>355.74201011053049</v>
      </c>
      <c r="N15" s="233"/>
      <c r="O15" s="7" t="s">
        <v>42</v>
      </c>
      <c r="P15" s="8">
        <f>(B15*1000)/SUM('Population Figures'!$W17:$Y17)</f>
        <v>1119.8574758634081</v>
      </c>
      <c r="Q15" s="280">
        <f>(C15*1000)/SUM('Population Figures'!$W17:$Y17)</f>
        <v>22.112061862540408</v>
      </c>
      <c r="R15" s="8">
        <f>(D15*1000)/SUM('Population Figures'!$W17)</f>
        <v>5.7021947634889063</v>
      </c>
      <c r="S15" s="8">
        <f>(E15*1000)/SUM('Population Figures'!$W17)</f>
        <v>993.40378772496024</v>
      </c>
      <c r="T15" s="7">
        <f>(F15*1000)/SUM('Population Figures'!$Y17)</f>
        <v>2967.5459763058298</v>
      </c>
      <c r="U15" s="8">
        <f>(G15*1000)/SUM('Population Figures'!$X17)</f>
        <v>91.662616004523969</v>
      </c>
      <c r="V15" s="8">
        <f>(H15*1000)/SUM('Population Figures'!$X17)</f>
        <v>248.07157947170293</v>
      </c>
      <c r="W15" s="8">
        <f>(I15*1000)/SUM('Population Figures'!$X17)</f>
        <v>70.906289517013079</v>
      </c>
      <c r="X15" s="185">
        <f>(J15*1000)/SUM('Population Figures'!$X17)</f>
        <v>10.44511913565065</v>
      </c>
      <c r="Y15" s="186">
        <f>(K15*1000)/SUM('Population Figures'!$X17)</f>
        <v>0</v>
      </c>
      <c r="Z15" s="186">
        <f>(L15*1000)/SUM('Population Figures'!$X17)</f>
        <v>0</v>
      </c>
      <c r="AA15" s="186">
        <f>(M15*1000)/SUM('Population Figures'!$X17)</f>
        <v>23.032826811947587</v>
      </c>
      <c r="AC15" s="233"/>
      <c r="AD15" s="121"/>
    </row>
    <row r="16" spans="1:30">
      <c r="A16" s="7" t="s">
        <v>43</v>
      </c>
      <c r="B16" s="425">
        <f t="shared" si="1"/>
        <v>101909.74455916377</v>
      </c>
      <c r="C16" s="280">
        <f t="shared" si="1"/>
        <v>534.64714891611698</v>
      </c>
      <c r="D16" s="425">
        <f t="shared" si="1"/>
        <v>77.560031274098208</v>
      </c>
      <c r="E16" s="425">
        <f t="shared" si="1"/>
        <v>22914.335639619574</v>
      </c>
      <c r="F16" s="280">
        <f t="shared" si="1"/>
        <v>46916.579984577169</v>
      </c>
      <c r="G16" s="425">
        <f t="shared" si="1"/>
        <v>7197.5709022363144</v>
      </c>
      <c r="H16" s="425">
        <f t="shared" si="1"/>
        <v>15681.604189872338</v>
      </c>
      <c r="I16" s="425">
        <f t="shared" si="1"/>
        <v>4901.7939765230067</v>
      </c>
      <c r="J16" s="425">
        <f t="shared" si="1"/>
        <v>329.88866635249775</v>
      </c>
      <c r="K16" s="280">
        <f t="shared" si="1"/>
        <v>0</v>
      </c>
      <c r="L16" s="280">
        <f t="shared" si="1"/>
        <v>0</v>
      </c>
      <c r="M16" s="280">
        <f t="shared" si="1"/>
        <v>3355.7640197926494</v>
      </c>
      <c r="N16" s="233"/>
      <c r="O16" s="7" t="s">
        <v>43</v>
      </c>
      <c r="P16" s="8">
        <f>(B16*1000)/SUM('Population Figures'!$W18:$Y18)</f>
        <v>664.8600245248158</v>
      </c>
      <c r="Q16" s="280">
        <f>(C16*1000)/SUM('Population Figures'!$W18:$Y18)</f>
        <v>3.4880424642231018</v>
      </c>
      <c r="R16" s="8">
        <f>(D16*1000)/SUM('Population Figures'!$W18)</f>
        <v>2.4095197512845448</v>
      </c>
      <c r="S16" s="8">
        <f>(E16*1000)/SUM('Population Figures'!$W18)</f>
        <v>711.86851531950583</v>
      </c>
      <c r="T16" s="7">
        <f>(F16*1000)/SUM('Population Figures'!$Y18)</f>
        <v>1864.9513051865156</v>
      </c>
      <c r="U16" s="8">
        <f>(G16*1000)/SUM('Population Figures'!$X18)</f>
        <v>75.026277464051475</v>
      </c>
      <c r="V16" s="8">
        <f>(H16*1000)/SUM('Population Figures'!$X18)</f>
        <v>163.46242406104548</v>
      </c>
      <c r="W16" s="8">
        <f>(I16*1000)/SUM('Population Figures'!$X18)</f>
        <v>51.095482066035046</v>
      </c>
      <c r="X16" s="185">
        <f>(J16*1000)/SUM('Population Figures'!$X18)</f>
        <v>3.4387043837690263</v>
      </c>
      <c r="Y16" s="186">
        <f>(K16*1000)/SUM('Population Figures'!$X18)</f>
        <v>0</v>
      </c>
      <c r="Z16" s="186">
        <f>(L16*1000)/SUM('Population Figures'!$X18)</f>
        <v>0</v>
      </c>
      <c r="AA16" s="186">
        <f>(M16*1000)/SUM('Population Figures'!$X18)</f>
        <v>34.979923903857333</v>
      </c>
      <c r="AC16" s="233"/>
      <c r="AD16" s="121"/>
    </row>
    <row r="17" spans="1:30">
      <c r="A17" s="7" t="s">
        <v>44</v>
      </c>
      <c r="B17" s="425">
        <f t="shared" si="1"/>
        <v>251786.74899323116</v>
      </c>
      <c r="C17" s="280">
        <f t="shared" si="1"/>
        <v>1352.6469454202729</v>
      </c>
      <c r="D17" s="425">
        <f t="shared" si="1"/>
        <v>0</v>
      </c>
      <c r="E17" s="425">
        <f t="shared" si="1"/>
        <v>46779.040195784437</v>
      </c>
      <c r="F17" s="280">
        <f t="shared" si="1"/>
        <v>104986.29246636966</v>
      </c>
      <c r="G17" s="425">
        <f t="shared" si="1"/>
        <v>22021.878213092285</v>
      </c>
      <c r="H17" s="425">
        <f t="shared" si="1"/>
        <v>57811.179044212164</v>
      </c>
      <c r="I17" s="425">
        <f t="shared" si="1"/>
        <v>10832.551034615717</v>
      </c>
      <c r="J17" s="425">
        <f t="shared" si="1"/>
        <v>770.42964398937556</v>
      </c>
      <c r="K17" s="280">
        <f t="shared" si="1"/>
        <v>224.40702381972417</v>
      </c>
      <c r="L17" s="280">
        <f t="shared" si="1"/>
        <v>0</v>
      </c>
      <c r="M17" s="280">
        <f t="shared" si="1"/>
        <v>7008.3244259275143</v>
      </c>
      <c r="N17" s="233"/>
      <c r="O17" s="7" t="s">
        <v>44</v>
      </c>
      <c r="P17" s="8">
        <f>(B17*1000)/SUM('Population Figures'!$W19:$Y19)</f>
        <v>689.78891291773368</v>
      </c>
      <c r="Q17" s="280">
        <f>(C17*1000)/SUM('Population Figures'!$W19:$Y19)</f>
        <v>3.7056789913436878</v>
      </c>
      <c r="R17" s="8">
        <f>(D17*1000)/SUM('Population Figures'!$W19)</f>
        <v>0</v>
      </c>
      <c r="S17" s="8">
        <f>(E17*1000)/SUM('Population Figures'!$W19)</f>
        <v>634.29207045131432</v>
      </c>
      <c r="T17" s="7">
        <f>(F17*1000)/SUM('Population Figures'!$Y19)</f>
        <v>1634.9185153993562</v>
      </c>
      <c r="U17" s="8">
        <f>(G17*1000)/SUM('Population Figures'!$X19)</f>
        <v>96.989179771827466</v>
      </c>
      <c r="V17" s="8">
        <f>(H17*1000)/SUM('Population Figures'!$X19)</f>
        <v>254.61310715118435</v>
      </c>
      <c r="W17" s="8">
        <f>(I17*1000)/SUM('Population Figures'!$X19)</f>
        <v>47.708929706968433</v>
      </c>
      <c r="X17" s="185">
        <f>(J17*1000)/SUM('Population Figures'!$X19)</f>
        <v>3.3931410626913108</v>
      </c>
      <c r="Y17" s="186">
        <f>(K17*1000)/SUM('Population Figures'!$X19)</f>
        <v>0.98833773235438194</v>
      </c>
      <c r="Z17" s="186">
        <f>(L17*1000)/SUM('Population Figures'!$X19)</f>
        <v>0</v>
      </c>
      <c r="AA17" s="186">
        <f>(M17*1000)/SUM('Population Figures'!$X19)</f>
        <v>30.866197291085921</v>
      </c>
      <c r="AC17" s="233"/>
      <c r="AD17" s="121"/>
    </row>
    <row r="18" spans="1:30">
      <c r="A18" s="7" t="s">
        <v>45</v>
      </c>
      <c r="B18" s="425">
        <f t="shared" si="1"/>
        <v>544705.13377174211</v>
      </c>
      <c r="C18" s="280">
        <f t="shared" si="1"/>
        <v>1529.4838167252167</v>
      </c>
      <c r="D18" s="425">
        <f t="shared" si="1"/>
        <v>430.19964013366473</v>
      </c>
      <c r="E18" s="425">
        <f t="shared" si="1"/>
        <v>150820.13441436042</v>
      </c>
      <c r="F18" s="280">
        <f t="shared" si="1"/>
        <v>222502.14945163231</v>
      </c>
      <c r="G18" s="425">
        <f t="shared" si="1"/>
        <v>31014.705305886393</v>
      </c>
      <c r="H18" s="425">
        <f t="shared" si="1"/>
        <v>69903.304986719231</v>
      </c>
      <c r="I18" s="425">
        <f t="shared" si="1"/>
        <v>22951.564454631141</v>
      </c>
      <c r="J18" s="425">
        <f t="shared" si="1"/>
        <v>24789.220128952111</v>
      </c>
      <c r="K18" s="280">
        <f t="shared" si="1"/>
        <v>15.512006254819642</v>
      </c>
      <c r="L18" s="280">
        <f t="shared" si="1"/>
        <v>1173.7418066146863</v>
      </c>
      <c r="M18" s="280">
        <f t="shared" si="1"/>
        <v>19575.117759832068</v>
      </c>
      <c r="N18" s="233"/>
      <c r="O18" s="7" t="s">
        <v>45</v>
      </c>
      <c r="P18" s="8">
        <f>(B18*1000)/SUM('Population Figures'!$W20:$Y20)</f>
        <v>918.83730942232398</v>
      </c>
      <c r="Q18" s="280">
        <f>(C18*1000)/SUM('Population Figures'!$W20:$Y20)</f>
        <v>2.5800138604048728</v>
      </c>
      <c r="R18" s="8">
        <f>(D18*1000)/SUM('Population Figures'!$W20)</f>
        <v>3.9065021260911763</v>
      </c>
      <c r="S18" s="8">
        <f>(E18*1000)/SUM('Population Figures'!$W20)</f>
        <v>1369.5482766187247</v>
      </c>
      <c r="T18" s="7">
        <f>(F18*1000)/SUM('Population Figures'!$Y20)</f>
        <v>2751.5940473595133</v>
      </c>
      <c r="U18" s="8">
        <f>(G18*1000)/SUM('Population Figures'!$X20)</f>
        <v>77.183071838018265</v>
      </c>
      <c r="V18" s="8">
        <f>(H18*1000)/SUM('Population Figures'!$X20)</f>
        <v>173.96108579116009</v>
      </c>
      <c r="W18" s="8">
        <f>(I18*1000)/SUM('Population Figures'!$X20)</f>
        <v>57.11717169727509</v>
      </c>
      <c r="X18" s="185">
        <f>(J18*1000)/SUM('Population Figures'!$X20)</f>
        <v>61.690354273920043</v>
      </c>
      <c r="Y18" s="186">
        <f>(K18*1000)/SUM('Population Figures'!$X20)</f>
        <v>3.8603116854065353E-2</v>
      </c>
      <c r="Z18" s="186">
        <f>(L18*1000)/SUM('Population Figures'!$X20)</f>
        <v>2.9209691752909448</v>
      </c>
      <c r="AA18" s="186">
        <f>(M18*1000)/SUM('Population Figures'!$X20)</f>
        <v>48.714559928706876</v>
      </c>
      <c r="AC18" s="233"/>
      <c r="AD18" s="121"/>
    </row>
    <row r="19" spans="1:30">
      <c r="A19" s="7" t="s">
        <v>46</v>
      </c>
      <c r="B19" s="425">
        <f t="shared" si="1"/>
        <v>149889.41403907124</v>
      </c>
      <c r="C19" s="280">
        <f t="shared" si="1"/>
        <v>431.23377388398603</v>
      </c>
      <c r="D19" s="425">
        <f t="shared" si="1"/>
        <v>125.13018378887845</v>
      </c>
      <c r="E19" s="425">
        <f t="shared" si="1"/>
        <v>26325.942881929575</v>
      </c>
      <c r="F19" s="280">
        <f t="shared" si="1"/>
        <v>71355.228772170361</v>
      </c>
      <c r="G19" s="425">
        <f t="shared" si="1"/>
        <v>10727.069392082944</v>
      </c>
      <c r="H19" s="425">
        <f t="shared" si="1"/>
        <v>30512.116303230236</v>
      </c>
      <c r="I19" s="425">
        <f t="shared" si="1"/>
        <v>6236.8606481878178</v>
      </c>
      <c r="J19" s="425">
        <f t="shared" si="1"/>
        <v>836.61420400993939</v>
      </c>
      <c r="K19" s="280">
        <f t="shared" si="1"/>
        <v>0</v>
      </c>
      <c r="L19" s="280">
        <f t="shared" si="1"/>
        <v>0</v>
      </c>
      <c r="M19" s="280">
        <f t="shared" si="1"/>
        <v>3339.2178797875085</v>
      </c>
      <c r="N19" s="233"/>
      <c r="O19" s="7" t="s">
        <v>46</v>
      </c>
      <c r="P19" s="8">
        <f>(B19*1000)/SUM('Population Figures'!$W21:$Y21)</f>
        <v>676.30471524194036</v>
      </c>
      <c r="Q19" s="280">
        <f>(C19*1000)/SUM('Population Figures'!$W21:$Y21)</f>
        <v>1.945737372575852</v>
      </c>
      <c r="R19" s="8">
        <f>(D19*1000)/SUM('Population Figures'!$W21)</f>
        <v>2.8205978808664529</v>
      </c>
      <c r="S19" s="8">
        <f>(E19*1000)/SUM('Population Figures'!$W21)</f>
        <v>593.42115911749829</v>
      </c>
      <c r="T19" s="7">
        <f>(F19*1000)/SUM('Population Figures'!$Y21)</f>
        <v>1712.059810263697</v>
      </c>
      <c r="U19" s="8">
        <f>(G19*1000)/SUM('Population Figures'!$X21)</f>
        <v>79.114599208512061</v>
      </c>
      <c r="V19" s="8">
        <f>(H19*1000)/SUM('Population Figures'!$X21)</f>
        <v>225.03386191527511</v>
      </c>
      <c r="W19" s="8">
        <f>(I19*1000)/SUM('Population Figures'!$X21)</f>
        <v>45.998278976818312</v>
      </c>
      <c r="X19" s="185">
        <f>(J19*1000)/SUM('Population Figures'!$X21)</f>
        <v>6.1702218027269122</v>
      </c>
      <c r="Y19" s="186">
        <f>(K19*1000)/SUM('Population Figures'!$X21)</f>
        <v>0</v>
      </c>
      <c r="Z19" s="186">
        <f>(L19*1000)/SUM('Population Figures'!$X21)</f>
        <v>0</v>
      </c>
      <c r="AA19" s="186">
        <f>(M19*1000)/SUM('Population Figures'!$X21)</f>
        <v>24.627498394320398</v>
      </c>
      <c r="AC19" s="233"/>
      <c r="AD19" s="121"/>
    </row>
    <row r="20" spans="1:30">
      <c r="A20" s="7" t="s">
        <v>47</v>
      </c>
      <c r="B20" s="425">
        <f t="shared" si="1"/>
        <v>64636.461796332806</v>
      </c>
      <c r="C20" s="280">
        <f t="shared" si="1"/>
        <v>2103.4280481535434</v>
      </c>
      <c r="D20" s="425">
        <f t="shared" si="1"/>
        <v>14.477872504498333</v>
      </c>
      <c r="E20" s="425">
        <f t="shared" si="1"/>
        <v>12982.51510153372</v>
      </c>
      <c r="F20" s="280">
        <f t="shared" si="1"/>
        <v>29319.760089109768</v>
      </c>
      <c r="G20" s="425">
        <f t="shared" si="1"/>
        <v>3380.5832298003606</v>
      </c>
      <c r="H20" s="425">
        <f t="shared" si="1"/>
        <v>8486.1015551366654</v>
      </c>
      <c r="I20" s="425">
        <f t="shared" si="1"/>
        <v>3488.133139833777</v>
      </c>
      <c r="J20" s="425">
        <f t="shared" si="1"/>
        <v>2717.7034958444015</v>
      </c>
      <c r="K20" s="280">
        <f t="shared" si="1"/>
        <v>0</v>
      </c>
      <c r="L20" s="280">
        <f t="shared" si="1"/>
        <v>0</v>
      </c>
      <c r="M20" s="280">
        <f t="shared" si="1"/>
        <v>2143.7592644160745</v>
      </c>
      <c r="N20" s="233"/>
      <c r="O20" s="7" t="s">
        <v>47</v>
      </c>
      <c r="P20" s="8">
        <f>(B20*1000)/SUM('Population Figures'!$W22:$Y22)</f>
        <v>810.28534281475254</v>
      </c>
      <c r="Q20" s="280">
        <f>(C20*1000)/SUM('Population Figures'!$W22:$Y22)</f>
        <v>26.368660500859264</v>
      </c>
      <c r="R20" s="8">
        <f>(D20*1000)/SUM('Population Figures'!$W22)</f>
        <v>0.91993090001895617</v>
      </c>
      <c r="S20" s="8">
        <f>(E20*1000)/SUM('Population Figures'!$W22)</f>
        <v>824.91517991699834</v>
      </c>
      <c r="T20" s="7">
        <f>(F20*1000)/SUM('Population Figures'!$Y22)</f>
        <v>2029.7514772661659</v>
      </c>
      <c r="U20" s="8">
        <f>(G20*1000)/SUM('Population Figures'!$X22)</f>
        <v>68.174788347759716</v>
      </c>
      <c r="V20" s="8">
        <f>(H20*1000)/SUM('Population Figures'!$X22)</f>
        <v>171.13561125167212</v>
      </c>
      <c r="W20" s="8">
        <f>(I20*1000)/SUM('Population Figures'!$X22)</f>
        <v>70.34370177332319</v>
      </c>
      <c r="X20" s="185">
        <f>(J20*1000)/SUM('Population Figures'!$X22)</f>
        <v>54.806773869046353</v>
      </c>
      <c r="Y20" s="186">
        <f>(K20*1000)/SUM('Population Figures'!$X22)</f>
        <v>0</v>
      </c>
      <c r="Z20" s="186">
        <f>(L20*1000)/SUM('Population Figures'!$X22)</f>
        <v>0</v>
      </c>
      <c r="AA20" s="186">
        <f>(M20*1000)/SUM('Population Figures'!$X22)</f>
        <v>43.232283953779707</v>
      </c>
      <c r="AC20" s="233"/>
      <c r="AD20" s="121"/>
    </row>
    <row r="21" spans="1:30">
      <c r="A21" s="7" t="s">
        <v>48</v>
      </c>
      <c r="B21" s="425">
        <f t="shared" si="1"/>
        <v>56368.562462513939</v>
      </c>
      <c r="C21" s="280">
        <f t="shared" si="1"/>
        <v>1312.3157291577418</v>
      </c>
      <c r="D21" s="425">
        <f t="shared" si="1"/>
        <v>105.48164253277356</v>
      </c>
      <c r="E21" s="425">
        <f t="shared" si="1"/>
        <v>15183.151722217466</v>
      </c>
      <c r="F21" s="280">
        <f t="shared" si="1"/>
        <v>21649.590062976615</v>
      </c>
      <c r="G21" s="425">
        <f t="shared" si="1"/>
        <v>3711.5060299031798</v>
      </c>
      <c r="H21" s="425">
        <f t="shared" si="1"/>
        <v>10689.840577071376</v>
      </c>
      <c r="I21" s="425">
        <f t="shared" si="1"/>
        <v>1971.058928112416</v>
      </c>
      <c r="J21" s="425">
        <f t="shared" si="1"/>
        <v>744.57630023134288</v>
      </c>
      <c r="K21" s="280">
        <f t="shared" si="1"/>
        <v>3.1024012509639283</v>
      </c>
      <c r="L21" s="280">
        <f t="shared" si="1"/>
        <v>0</v>
      </c>
      <c r="M21" s="280">
        <f t="shared" si="1"/>
        <v>997.93906906006362</v>
      </c>
      <c r="N21" s="233"/>
      <c r="O21" s="7" t="s">
        <v>48</v>
      </c>
      <c r="P21" s="8">
        <f>(B21*1000)/SUM('Population Figures'!$W23:$Y23)</f>
        <v>694.7074496242783</v>
      </c>
      <c r="Q21" s="280">
        <f>(C21*1000)/SUM('Population Figures'!$W23:$Y23)</f>
        <v>16.173474601401796</v>
      </c>
      <c r="R21" s="8">
        <f>(D21*1000)/SUM('Population Figures'!$W23)</f>
        <v>6.0330383512224639</v>
      </c>
      <c r="S21" s="8">
        <f>(E21*1000)/SUM('Population Figures'!$W23)</f>
        <v>868.40263796713953</v>
      </c>
      <c r="T21" s="7">
        <f>(F21*1000)/SUM('Population Figures'!$Y23)</f>
        <v>1587.5625183674279</v>
      </c>
      <c r="U21" s="8">
        <f>(G21*1000)/SUM('Population Figures'!$X23)</f>
        <v>74.201923866994136</v>
      </c>
      <c r="V21" s="8">
        <f>(H21*1000)/SUM('Population Figures'!$X23)</f>
        <v>213.71559961357437</v>
      </c>
      <c r="W21" s="8">
        <f>(I21*1000)/SUM('Population Figures'!$X23)</f>
        <v>39.406204204650557</v>
      </c>
      <c r="X21" s="185">
        <f>(J21*1000)/SUM('Population Figures'!$X23)</f>
        <v>14.885869374264637</v>
      </c>
      <c r="Y21" s="186">
        <f>(K21*1000)/SUM('Population Figures'!$X23)</f>
        <v>6.2024455726102649E-2</v>
      </c>
      <c r="Z21" s="186">
        <f>(L21*1000)/SUM('Population Figures'!$X23)</f>
        <v>0</v>
      </c>
      <c r="AA21" s="186">
        <f>(M21*1000)/SUM('Population Figures'!$X23)</f>
        <v>19.951199925229684</v>
      </c>
      <c r="AC21" s="233"/>
      <c r="AD21" s="121"/>
    </row>
    <row r="22" spans="1:30">
      <c r="A22" s="7" t="s">
        <v>49</v>
      </c>
      <c r="B22" s="425">
        <f t="shared" si="1"/>
        <v>54403.708336903452</v>
      </c>
      <c r="C22" s="280">
        <f t="shared" si="1"/>
        <v>529.47648016451046</v>
      </c>
      <c r="D22" s="425">
        <f t="shared" si="1"/>
        <v>50.672553765744162</v>
      </c>
      <c r="E22" s="425">
        <f t="shared" si="1"/>
        <v>13565.766536714938</v>
      </c>
      <c r="F22" s="280">
        <f t="shared" si="1"/>
        <v>23991.903007454381</v>
      </c>
      <c r="G22" s="425">
        <f t="shared" si="1"/>
        <v>3184.097817239312</v>
      </c>
      <c r="H22" s="425">
        <f t="shared" si="1"/>
        <v>9640.1948204952478</v>
      </c>
      <c r="I22" s="425">
        <f t="shared" si="1"/>
        <v>1693.9110830263051</v>
      </c>
      <c r="J22" s="425">
        <f t="shared" si="1"/>
        <v>963.8126552994604</v>
      </c>
      <c r="K22" s="280">
        <f t="shared" si="1"/>
        <v>0</v>
      </c>
      <c r="L22" s="280">
        <f t="shared" si="1"/>
        <v>0</v>
      </c>
      <c r="M22" s="280">
        <f t="shared" si="1"/>
        <v>783.87338274355261</v>
      </c>
      <c r="N22" s="233"/>
      <c r="O22" s="7" t="s">
        <v>49</v>
      </c>
      <c r="P22" s="8">
        <f>(B22*1000)/SUM('Population Figures'!$W24:$Y24)</f>
        <v>620.19731346219169</v>
      </c>
      <c r="Q22" s="280">
        <f>(C22*1000)/SUM('Population Figures'!$W24:$Y24)</f>
        <v>6.035983586006731</v>
      </c>
      <c r="R22" s="8">
        <f>(D22*1000)/SUM('Population Figures'!$W24)</f>
        <v>2.8527024582415224</v>
      </c>
      <c r="S22" s="8">
        <f>(E22*1000)/SUM('Population Figures'!$W24)</f>
        <v>763.7092009635162</v>
      </c>
      <c r="T22" s="7">
        <f>(F22*1000)/SUM('Population Figures'!$Y24)</f>
        <v>1445.730822986103</v>
      </c>
      <c r="U22" s="8">
        <f>(G22*1000)/SUM('Population Figures'!$X24)</f>
        <v>59.669761576389789</v>
      </c>
      <c r="V22" s="8">
        <f>(H22*1000)/SUM('Population Figures'!$X24)</f>
        <v>180.656549988667</v>
      </c>
      <c r="W22" s="8">
        <f>(I22*1000)/SUM('Population Figures'!$X24)</f>
        <v>31.7437705300833</v>
      </c>
      <c r="X22" s="185">
        <f>(J22*1000)/SUM('Population Figures'!$X24)</f>
        <v>18.061779080609057</v>
      </c>
      <c r="Y22" s="186">
        <f>(K22*1000)/SUM('Population Figures'!$X24)</f>
        <v>0</v>
      </c>
      <c r="Z22" s="186">
        <f>(L22*1000)/SUM('Population Figures'!$X24)</f>
        <v>0</v>
      </c>
      <c r="AA22" s="186">
        <f>(M22*1000)/SUM('Population Figures'!$X24)</f>
        <v>14.689730196461012</v>
      </c>
      <c r="AC22" s="233"/>
      <c r="AD22" s="121"/>
    </row>
    <row r="23" spans="1:30">
      <c r="A23" s="7" t="s">
        <v>50</v>
      </c>
      <c r="B23" s="425">
        <f t="shared" si="1"/>
        <v>106349.28074929315</v>
      </c>
      <c r="C23" s="280">
        <f t="shared" si="1"/>
        <v>892.45742652729007</v>
      </c>
      <c r="D23" s="425">
        <f t="shared" si="1"/>
        <v>166.49553380173083</v>
      </c>
      <c r="E23" s="425">
        <f t="shared" si="1"/>
        <v>23009.475944649137</v>
      </c>
      <c r="F23" s="280">
        <f t="shared" si="1"/>
        <v>51946.606546140021</v>
      </c>
      <c r="G23" s="425">
        <f t="shared" si="1"/>
        <v>5284.4234641418916</v>
      </c>
      <c r="H23" s="425">
        <f t="shared" si="1"/>
        <v>15672.296986119445</v>
      </c>
      <c r="I23" s="425">
        <f t="shared" si="1"/>
        <v>3677.3796161425767</v>
      </c>
      <c r="J23" s="425">
        <f t="shared" si="1"/>
        <v>1837.6556743209669</v>
      </c>
      <c r="K23" s="280">
        <f t="shared" si="1"/>
        <v>0</v>
      </c>
      <c r="L23" s="280">
        <f t="shared" si="1"/>
        <v>0</v>
      </c>
      <c r="M23" s="280">
        <f t="shared" si="1"/>
        <v>3862.4895574500911</v>
      </c>
      <c r="N23" s="233"/>
      <c r="O23" s="7" t="s">
        <v>50</v>
      </c>
      <c r="P23" s="8">
        <f>(B23*1000)/SUM('Population Figures'!$W25:$Y25)</f>
        <v>786.72348534763387</v>
      </c>
      <c r="Q23" s="280">
        <f>(C23*1000)/SUM('Population Figures'!$W25:$Y25)</f>
        <v>6.6019930945945404</v>
      </c>
      <c r="R23" s="8">
        <f>(D23*1000)/SUM('Population Figures'!$W25)</f>
        <v>6.0108860898130203</v>
      </c>
      <c r="S23" s="8">
        <f>(E23*1000)/SUM('Population Figures'!$W25)</f>
        <v>830.69699067291731</v>
      </c>
      <c r="T23" s="7">
        <f>(F23*1000)/SUM('Population Figures'!$Y25)</f>
        <v>2052.0900113036273</v>
      </c>
      <c r="U23" s="8">
        <f>(G23*1000)/SUM('Population Figures'!$X25)</f>
        <v>64.313209246314102</v>
      </c>
      <c r="V23" s="8">
        <f>(H23*1000)/SUM('Population Figures'!$X25)</f>
        <v>190.73712057297266</v>
      </c>
      <c r="W23" s="8">
        <f>(I23*1000)/SUM('Population Figures'!$X25)</f>
        <v>44.754945612503519</v>
      </c>
      <c r="X23" s="185">
        <f>(J23*1000)/SUM('Population Figures'!$X25)</f>
        <v>22.364887051017647</v>
      </c>
      <c r="Y23" s="186">
        <f>(K23*1000)/SUM('Population Figures'!$X25)</f>
        <v>0</v>
      </c>
      <c r="Z23" s="186">
        <f>(L23*1000)/SUM('Population Figures'!$X25)</f>
        <v>0</v>
      </c>
      <c r="AA23" s="186">
        <f>(M23*1000)/SUM('Population Figures'!$X25)</f>
        <v>47.007795799409628</v>
      </c>
      <c r="AC23" s="233"/>
      <c r="AD23" s="121"/>
    </row>
    <row r="24" spans="1:30">
      <c r="A24" s="7" t="s">
        <v>51</v>
      </c>
      <c r="B24" s="425">
        <f t="shared" si="1"/>
        <v>201615.75009639282</v>
      </c>
      <c r="C24" s="280">
        <f t="shared" si="1"/>
        <v>947.26651529431945</v>
      </c>
      <c r="D24" s="425">
        <f t="shared" si="1"/>
        <v>68.252827521206427</v>
      </c>
      <c r="E24" s="425">
        <f t="shared" si="1"/>
        <v>25516.216155427992</v>
      </c>
      <c r="F24" s="280">
        <f t="shared" ref="C24:M35" si="2">F66*$I$39</f>
        <v>101138.28078142407</v>
      </c>
      <c r="G24" s="425">
        <f t="shared" si="2"/>
        <v>3921.4351812184054</v>
      </c>
      <c r="H24" s="425">
        <f t="shared" si="2"/>
        <v>51271.317207180204</v>
      </c>
      <c r="I24" s="425">
        <f t="shared" si="2"/>
        <v>9900.7965255762174</v>
      </c>
      <c r="J24" s="425">
        <f t="shared" si="2"/>
        <v>1877.9868905834981</v>
      </c>
      <c r="K24" s="280">
        <f t="shared" si="2"/>
        <v>0</v>
      </c>
      <c r="L24" s="280">
        <f t="shared" si="2"/>
        <v>38.262948761888453</v>
      </c>
      <c r="M24" s="280">
        <f t="shared" si="2"/>
        <v>6935.9350634050224</v>
      </c>
      <c r="N24" s="233"/>
      <c r="O24" s="7" t="s">
        <v>51</v>
      </c>
      <c r="P24" s="8">
        <f>(B24*1000)/SUM('Population Figures'!$W26:$Y26)</f>
        <v>617.77102002816775</v>
      </c>
      <c r="Q24" s="280">
        <f>(C24*1000)/SUM('Population Figures'!$W26:$Y26)</f>
        <v>2.9025202699298918</v>
      </c>
      <c r="R24" s="8">
        <f>(D24*1000)/SUM('Population Figures'!$W26)</f>
        <v>0.95755811780923195</v>
      </c>
      <c r="S24" s="8">
        <f>(E24*1000)/SUM('Population Figures'!$W26)</f>
        <v>357.98165149734831</v>
      </c>
      <c r="T24" s="7">
        <f>(F24*1000)/SUM('Population Figures'!$Y26)</f>
        <v>2038.9549176748192</v>
      </c>
      <c r="U24" s="8">
        <f>(G24*1000)/SUM('Population Figures'!$X26)</f>
        <v>19.084359867521282</v>
      </c>
      <c r="V24" s="8">
        <f>(H24*1000)/SUM('Population Figures'!$X26)</f>
        <v>249.52095935438757</v>
      </c>
      <c r="W24" s="8">
        <f>(I24*1000)/SUM('Population Figures'!$X26)</f>
        <v>48.183982429232266</v>
      </c>
      <c r="X24" s="185">
        <f>(J24*1000)/SUM('Population Figures'!$X26)</f>
        <v>9.1395563078635664</v>
      </c>
      <c r="Y24" s="186">
        <f>(K24*1000)/SUM('Population Figures'!$X26)</f>
        <v>0</v>
      </c>
      <c r="Z24" s="186">
        <f>(L24*1000)/SUM('Population Figures'!$X26)</f>
        <v>0.18621342697739648</v>
      </c>
      <c r="AA24" s="186">
        <f>(M24*1000)/SUM('Population Figures'!$X26)</f>
        <v>33.754958236145896</v>
      </c>
      <c r="AC24" s="233"/>
      <c r="AD24" s="121"/>
    </row>
    <row r="25" spans="1:30">
      <c r="A25" s="7" t="s">
        <v>52</v>
      </c>
      <c r="B25" s="425">
        <f t="shared" si="1"/>
        <v>21618.566050466976</v>
      </c>
      <c r="C25" s="280">
        <f t="shared" si="2"/>
        <v>733.20082897780844</v>
      </c>
      <c r="D25" s="425">
        <f t="shared" si="2"/>
        <v>34.126413760603214</v>
      </c>
      <c r="E25" s="425">
        <f t="shared" si="2"/>
        <v>3205.8146259960595</v>
      </c>
      <c r="F25" s="280">
        <f t="shared" si="2"/>
        <v>12773.620083968815</v>
      </c>
      <c r="G25" s="425">
        <f t="shared" si="2"/>
        <v>1523.2790142232889</v>
      </c>
      <c r="H25" s="425">
        <f t="shared" si="2"/>
        <v>2718.7376295947229</v>
      </c>
      <c r="I25" s="425">
        <f t="shared" si="2"/>
        <v>579.11490017993333</v>
      </c>
      <c r="J25" s="425">
        <f t="shared" si="2"/>
        <v>50.672553765744162</v>
      </c>
      <c r="K25" s="280">
        <f t="shared" si="2"/>
        <v>0</v>
      </c>
      <c r="L25" s="280">
        <f t="shared" si="2"/>
        <v>0</v>
      </c>
      <c r="M25" s="280">
        <f t="shared" si="2"/>
        <v>0</v>
      </c>
      <c r="N25" s="233"/>
      <c r="O25" s="7" t="s">
        <v>52</v>
      </c>
      <c r="P25" s="8">
        <f>(B25*1000)/SUM('Population Figures'!$W27:$Y27)</f>
        <v>1075.0157160848821</v>
      </c>
      <c r="Q25" s="280">
        <f>(C25*1000)/SUM('Population Figures'!$W27:$Y27)</f>
        <v>36.459514121223691</v>
      </c>
      <c r="R25" s="8">
        <f>(D25*1000)/SUM('Population Figures'!$W27)</f>
        <v>8.626494883873411</v>
      </c>
      <c r="S25" s="8">
        <f>(E25*1000)/SUM('Population Figures'!$W27)</f>
        <v>810.36770121235065</v>
      </c>
      <c r="T25" s="7">
        <f>(F25*1000)/SUM('Population Figures'!$Y27)</f>
        <v>3206.2299407552246</v>
      </c>
      <c r="U25" s="8">
        <f>(G25*1000)/SUM('Population Figures'!$X27)</f>
        <v>125.16672261489639</v>
      </c>
      <c r="V25" s="8">
        <f>(H25*1000)/SUM('Population Figures'!$X27)</f>
        <v>223.3966827933215</v>
      </c>
      <c r="W25" s="8">
        <f>(I25*1000)/SUM('Population Figures'!$X27)</f>
        <v>47.58544783729937</v>
      </c>
      <c r="X25" s="185">
        <f>(J25*1000)/SUM('Population Figures'!$X27)</f>
        <v>4.1637266857636943</v>
      </c>
      <c r="Y25" s="186">
        <f>(K25*1000)/SUM('Population Figures'!$X27)</f>
        <v>0</v>
      </c>
      <c r="Z25" s="186">
        <f>(L25*1000)/SUM('Population Figures'!$X27)</f>
        <v>0</v>
      </c>
      <c r="AA25" s="186">
        <f>(M25*1000)/SUM('Population Figures'!$X27)</f>
        <v>0</v>
      </c>
      <c r="AC25" s="233"/>
      <c r="AD25" s="121"/>
    </row>
    <row r="26" spans="1:30">
      <c r="A26" s="7" t="s">
        <v>53</v>
      </c>
      <c r="B26" s="425">
        <f t="shared" si="1"/>
        <v>91507.393164681707</v>
      </c>
      <c r="C26" s="280">
        <f t="shared" si="2"/>
        <v>570.84183017736279</v>
      </c>
      <c r="D26" s="425">
        <f t="shared" si="2"/>
        <v>0</v>
      </c>
      <c r="E26" s="425">
        <f t="shared" si="2"/>
        <v>16011.492856224835</v>
      </c>
      <c r="F26" s="280">
        <f t="shared" si="2"/>
        <v>47316.789745951515</v>
      </c>
      <c r="G26" s="425">
        <f t="shared" si="2"/>
        <v>3328.8765422842953</v>
      </c>
      <c r="H26" s="425">
        <f t="shared" si="2"/>
        <v>15674.365253620088</v>
      </c>
      <c r="I26" s="425">
        <f t="shared" si="2"/>
        <v>4379.556432610746</v>
      </c>
      <c r="J26" s="425">
        <f t="shared" si="2"/>
        <v>1263.7114428926402</v>
      </c>
      <c r="K26" s="280">
        <f t="shared" si="2"/>
        <v>0</v>
      </c>
      <c r="L26" s="280">
        <f t="shared" si="2"/>
        <v>0</v>
      </c>
      <c r="M26" s="280">
        <f t="shared" si="2"/>
        <v>2961.7590609202302</v>
      </c>
      <c r="N26" s="233"/>
      <c r="O26" s="7" t="s">
        <v>53</v>
      </c>
      <c r="P26" s="8">
        <f>(B26*1000)/SUM('Population Figures'!$W28:$Y28)</f>
        <v>619.21364978130805</v>
      </c>
      <c r="Q26" s="280">
        <f>(C26*1000)/SUM('Population Figures'!$W28:$Y28)</f>
        <v>3.8627813653901932</v>
      </c>
      <c r="R26" s="8">
        <f>(D26*1000)/SUM('Population Figures'!$W28)</f>
        <v>0</v>
      </c>
      <c r="S26" s="8">
        <f>(E26*1000)/SUM('Population Figures'!$W28)</f>
        <v>560.50874662972888</v>
      </c>
      <c r="T26" s="7">
        <f>(F26*1000)/SUM('Population Figures'!$Y28)</f>
        <v>1625.6154789552863</v>
      </c>
      <c r="U26" s="8">
        <f>(G26*1000)/SUM('Population Figures'!$X28)</f>
        <v>36.943595306516649</v>
      </c>
      <c r="V26" s="8">
        <f>(H26*1000)/SUM('Population Figures'!$X28)</f>
        <v>173.95280337398967</v>
      </c>
      <c r="W26" s="8">
        <f>(I26*1000)/SUM('Population Figures'!$X28)</f>
        <v>48.603953439918612</v>
      </c>
      <c r="X26" s="185">
        <f>(J26*1000)/SUM('Population Figures'!$X28)</f>
        <v>14.024564605331884</v>
      </c>
      <c r="Y26" s="186">
        <f>(K26*1000)/SUM('Population Figures'!$X28)</f>
        <v>0</v>
      </c>
      <c r="Z26" s="186">
        <f>(L26*1000)/SUM('Population Figures'!$X28)</f>
        <v>0</v>
      </c>
      <c r="AA26" s="186">
        <f>(M26*1000)/SUM('Population Figures'!$X28)</f>
        <v>32.86935599809371</v>
      </c>
      <c r="AC26" s="233"/>
      <c r="AD26" s="121"/>
    </row>
    <row r="27" spans="1:30">
      <c r="A27" s="7" t="s">
        <v>54</v>
      </c>
      <c r="B27" s="425">
        <f t="shared" si="1"/>
        <v>125807.54139533891</v>
      </c>
      <c r="C27" s="280">
        <f t="shared" si="2"/>
        <v>350.57134135892392</v>
      </c>
      <c r="D27" s="425">
        <f t="shared" si="2"/>
        <v>0</v>
      </c>
      <c r="E27" s="425">
        <f t="shared" si="2"/>
        <v>29337.34036286523</v>
      </c>
      <c r="F27" s="280">
        <f t="shared" si="2"/>
        <v>53064.505130237354</v>
      </c>
      <c r="G27" s="425">
        <f t="shared" si="2"/>
        <v>9083.8308628223822</v>
      </c>
      <c r="H27" s="425">
        <f t="shared" si="2"/>
        <v>22413.814904464063</v>
      </c>
      <c r="I27" s="425">
        <f t="shared" si="2"/>
        <v>5277.1845278896426</v>
      </c>
      <c r="J27" s="425">
        <f t="shared" si="2"/>
        <v>1831.4508718190391</v>
      </c>
      <c r="K27" s="280">
        <f t="shared" si="2"/>
        <v>0</v>
      </c>
      <c r="L27" s="280">
        <f t="shared" si="2"/>
        <v>0</v>
      </c>
      <c r="M27" s="280">
        <f t="shared" si="2"/>
        <v>4448.8433938822736</v>
      </c>
      <c r="N27" s="233"/>
      <c r="O27" s="7" t="s">
        <v>54</v>
      </c>
      <c r="P27" s="8">
        <f>(B27*1000)/SUM('Population Figures'!$W29:$Y29)</f>
        <v>738.95765870977334</v>
      </c>
      <c r="Q27" s="280">
        <f>(C27*1000)/SUM('Population Figures'!$W29:$Y29)</f>
        <v>2.0591561900671009</v>
      </c>
      <c r="R27" s="8">
        <f>(D27*1000)/SUM('Population Figures'!$W29)</f>
        <v>0</v>
      </c>
      <c r="S27" s="8">
        <f>(E27*1000)/SUM('Population Figures'!$W29)</f>
        <v>851.83915107041901</v>
      </c>
      <c r="T27" s="7">
        <f>(F27*1000)/SUM('Population Figures'!$Y29)</f>
        <v>1867.35071014665</v>
      </c>
      <c r="U27" s="8">
        <f>(G27*1000)/SUM('Population Figures'!$X29)</f>
        <v>84.584943737695951</v>
      </c>
      <c r="V27" s="8">
        <f>(H27*1000)/SUM('Population Figures'!$X29)</f>
        <v>208.70834136735226</v>
      </c>
      <c r="W27" s="8">
        <f>(I27*1000)/SUM('Population Figures'!$X29)</f>
        <v>49.138999077124609</v>
      </c>
      <c r="X27" s="185">
        <f>(J27*1000)/SUM('Population Figures'!$X29)</f>
        <v>17.053726703035014</v>
      </c>
      <c r="Y27" s="186">
        <f>(K27*1000)/SUM('Population Figures'!$X29)</f>
        <v>0</v>
      </c>
      <c r="Z27" s="186">
        <f>(L27*1000)/SUM('Population Figures'!$X29)</f>
        <v>0</v>
      </c>
      <c r="AA27" s="186">
        <f>(M27*1000)/SUM('Population Figures'!$X29)</f>
        <v>41.42582285514208</v>
      </c>
      <c r="AC27" s="233"/>
      <c r="AD27" s="121"/>
    </row>
    <row r="28" spans="1:30">
      <c r="A28" s="7" t="s">
        <v>55</v>
      </c>
      <c r="B28" s="425">
        <f t="shared" si="1"/>
        <v>88331.568417444971</v>
      </c>
      <c r="C28" s="280">
        <f t="shared" si="2"/>
        <v>316.4449275983207</v>
      </c>
      <c r="D28" s="425">
        <f t="shared" si="2"/>
        <v>25.853343758032736</v>
      </c>
      <c r="E28" s="425">
        <f t="shared" si="2"/>
        <v>16738.488882700716</v>
      </c>
      <c r="F28" s="280">
        <f t="shared" si="2"/>
        <v>39728.316286093745</v>
      </c>
      <c r="G28" s="425">
        <f t="shared" si="2"/>
        <v>6056.9213756319095</v>
      </c>
      <c r="H28" s="425">
        <f t="shared" si="2"/>
        <v>20856.40947648017</v>
      </c>
      <c r="I28" s="425">
        <f t="shared" si="2"/>
        <v>2549.1396945420279</v>
      </c>
      <c r="J28" s="425">
        <f t="shared" si="2"/>
        <v>337.12760260474687</v>
      </c>
      <c r="K28" s="280">
        <f t="shared" si="2"/>
        <v>0</v>
      </c>
      <c r="L28" s="280">
        <f t="shared" si="2"/>
        <v>0</v>
      </c>
      <c r="M28" s="280">
        <f t="shared" si="2"/>
        <v>1722.8668280353015</v>
      </c>
      <c r="N28" s="233"/>
      <c r="O28" s="7" t="s">
        <v>55</v>
      </c>
      <c r="P28" s="8">
        <f>(B28*1000)/SUM('Population Figures'!$W30:$Y30)</f>
        <v>782.59562698188154</v>
      </c>
      <c r="Q28" s="280">
        <f>(C28*1000)/SUM('Population Figures'!$W30:$Y30)</f>
        <v>2.8036229963526242</v>
      </c>
      <c r="R28" s="8">
        <f>(D28*1000)/SUM('Population Figures'!$W30)</f>
        <v>1.1440038832706199</v>
      </c>
      <c r="S28" s="8">
        <f>(E28*1000)/SUM('Population Figures'!$W30)</f>
        <v>740.67387418473015</v>
      </c>
      <c r="T28" s="7">
        <f>(F28*1000)/SUM('Population Figures'!$Y30)</f>
        <v>1736.3774600565446</v>
      </c>
      <c r="U28" s="8">
        <f>(G28*1000)/SUM('Population Figures'!$X30)</f>
        <v>89.877303729458092</v>
      </c>
      <c r="V28" s="8">
        <f>(H28*1000)/SUM('Population Figures'!$X30)</f>
        <v>309.48360280275068</v>
      </c>
      <c r="W28" s="8">
        <f>(I28*1000)/SUM('Population Figures'!$X30)</f>
        <v>37.826114682109299</v>
      </c>
      <c r="X28" s="185">
        <f>(J28*1000)/SUM('Population Figures'!$X30)</f>
        <v>5.0025612115081666</v>
      </c>
      <c r="Y28" s="186">
        <f>(K28*1000)/SUM('Population Figures'!$X30)</f>
        <v>0</v>
      </c>
      <c r="Z28" s="186">
        <f>(L28*1000)/SUM('Population Figures'!$X30)</f>
        <v>0</v>
      </c>
      <c r="AA28" s="186">
        <f>(M28*1000)/SUM('Population Figures'!$X30)</f>
        <v>25.565236129977318</v>
      </c>
      <c r="AC28" s="233"/>
      <c r="AD28" s="121"/>
    </row>
    <row r="29" spans="1:30">
      <c r="A29" s="7" t="s">
        <v>56</v>
      </c>
      <c r="B29" s="425">
        <f t="shared" si="1"/>
        <v>35287.745962214045</v>
      </c>
      <c r="C29" s="280">
        <f t="shared" si="2"/>
        <v>400.20976137434678</v>
      </c>
      <c r="D29" s="425">
        <f t="shared" si="2"/>
        <v>48.60428626510155</v>
      </c>
      <c r="E29" s="425">
        <f t="shared" si="2"/>
        <v>5548.1275704738255</v>
      </c>
      <c r="F29" s="280">
        <f t="shared" si="2"/>
        <v>17939.118166823755</v>
      </c>
      <c r="G29" s="425">
        <f t="shared" si="2"/>
        <v>2761.1371133578964</v>
      </c>
      <c r="H29" s="425">
        <f t="shared" si="2"/>
        <v>5699.1110980207368</v>
      </c>
      <c r="I29" s="425">
        <f t="shared" si="2"/>
        <v>1732.1740317881934</v>
      </c>
      <c r="J29" s="425">
        <f t="shared" si="2"/>
        <v>780.7709814925887</v>
      </c>
      <c r="K29" s="280">
        <f t="shared" si="2"/>
        <v>0</v>
      </c>
      <c r="L29" s="280">
        <f t="shared" si="2"/>
        <v>0</v>
      </c>
      <c r="M29" s="280">
        <f t="shared" si="2"/>
        <v>378.49295261759926</v>
      </c>
      <c r="N29" s="233"/>
      <c r="O29" s="7" t="s">
        <v>56</v>
      </c>
      <c r="P29" s="8">
        <f>(B29*1000)/SUM('Population Figures'!$W31:$Y31)</f>
        <v>1575.3458018845556</v>
      </c>
      <c r="Q29" s="280">
        <f>(C29*1000)/SUM('Population Figures'!$W31:$Y31)</f>
        <v>17.86650720421191</v>
      </c>
      <c r="R29" s="8">
        <f>(D29*1000)/SUM('Population Figures'!$W31)</f>
        <v>9.9598947264552358</v>
      </c>
      <c r="S29" s="8">
        <f>(E29*1000)/SUM('Population Figures'!$W31)</f>
        <v>1136.9113873921774</v>
      </c>
      <c r="T29" s="7">
        <f>(F29*1000)/SUM('Population Figures'!$Y31)</f>
        <v>4728.2862854042587</v>
      </c>
      <c r="U29" s="8">
        <f>(G29*1000)/SUM('Population Figures'!$X31)</f>
        <v>201.16108941846835</v>
      </c>
      <c r="V29" s="8">
        <f>(H29*1000)/SUM('Population Figures'!$X31)</f>
        <v>415.20552950755769</v>
      </c>
      <c r="W29" s="8">
        <f>(I29*1000)/SUM('Population Figures'!$X31)</f>
        <v>126.1965635864923</v>
      </c>
      <c r="X29" s="185">
        <f>(J29*1000)/SUM('Population Figures'!$X31)</f>
        <v>56.882630153911457</v>
      </c>
      <c r="Y29" s="186">
        <f>(K29*1000)/SUM('Population Figures'!$X31)</f>
        <v>0</v>
      </c>
      <c r="Z29" s="186">
        <f>(L29*1000)/SUM('Population Figures'!$X31)</f>
        <v>0</v>
      </c>
      <c r="AA29" s="186">
        <f>(M29*1000)/SUM('Population Figures'!$X31)</f>
        <v>27.57489090904847</v>
      </c>
      <c r="AC29" s="233"/>
      <c r="AD29" s="121"/>
    </row>
    <row r="30" spans="1:30">
      <c r="A30" s="7" t="s">
        <v>57</v>
      </c>
      <c r="B30" s="425">
        <f t="shared" si="1"/>
        <v>89753.502324136774</v>
      </c>
      <c r="C30" s="280">
        <f t="shared" si="2"/>
        <v>0</v>
      </c>
      <c r="D30" s="425">
        <f t="shared" si="2"/>
        <v>43.433617513495001</v>
      </c>
      <c r="E30" s="425">
        <f t="shared" si="2"/>
        <v>18275.211635678181</v>
      </c>
      <c r="F30" s="280">
        <f t="shared" si="2"/>
        <v>44779.025522663025</v>
      </c>
      <c r="G30" s="425">
        <f t="shared" si="2"/>
        <v>3587.4099798646225</v>
      </c>
      <c r="H30" s="425">
        <f t="shared" si="2"/>
        <v>16537.866935138383</v>
      </c>
      <c r="I30" s="425">
        <f t="shared" si="2"/>
        <v>3870.7626274526615</v>
      </c>
      <c r="J30" s="425">
        <f t="shared" si="2"/>
        <v>1035.1678840716309</v>
      </c>
      <c r="K30" s="280">
        <f t="shared" si="2"/>
        <v>0</v>
      </c>
      <c r="L30" s="280">
        <f t="shared" si="2"/>
        <v>0</v>
      </c>
      <c r="M30" s="280">
        <f t="shared" si="2"/>
        <v>1624.6241217547772</v>
      </c>
      <c r="N30" s="233"/>
      <c r="O30" s="7" t="s">
        <v>57</v>
      </c>
      <c r="P30" s="8">
        <f>(B30*1000)/SUM('Population Figures'!$W32:$Y32)</f>
        <v>805.39754418643918</v>
      </c>
      <c r="Q30" s="280">
        <f>(C30*1000)/SUM('Population Figures'!$W32:$Y32)</f>
        <v>0</v>
      </c>
      <c r="R30" s="8">
        <f>(D30*1000)/SUM('Population Figures'!$W32)</f>
        <v>2.0959135990684263</v>
      </c>
      <c r="S30" s="8">
        <f>(E30*1000)/SUM('Population Figures'!$W32)</f>
        <v>881.88059816041016</v>
      </c>
      <c r="T30" s="7">
        <f>(F30*1000)/SUM('Population Figures'!$Y32)</f>
        <v>1882.4999168732093</v>
      </c>
      <c r="U30" s="8">
        <f>(G30*1000)/SUM('Population Figures'!$X32)</f>
        <v>53.599431941799232</v>
      </c>
      <c r="V30" s="8">
        <f>(H30*1000)/SUM('Population Figures'!$X32)</f>
        <v>247.09199066395314</v>
      </c>
      <c r="W30" s="8">
        <f>(I30*1000)/SUM('Population Figures'!$X32)</f>
        <v>57.832999065481268</v>
      </c>
      <c r="X30" s="185">
        <f>(J30*1000)/SUM('Population Figures'!$X32)</f>
        <v>15.466425878852995</v>
      </c>
      <c r="Y30" s="186">
        <f>(K30*1000)/SUM('Population Figures'!$X32)</f>
        <v>0</v>
      </c>
      <c r="Z30" s="186">
        <f>(L30*1000)/SUM('Population Figures'!$X32)</f>
        <v>0</v>
      </c>
      <c r="AA30" s="186">
        <f>(M30*1000)/SUM('Population Figures'!$X32)</f>
        <v>24.273481574103947</v>
      </c>
      <c r="AC30" s="233"/>
      <c r="AD30" s="121"/>
    </row>
    <row r="31" spans="1:30">
      <c r="A31" s="7" t="s">
        <v>58</v>
      </c>
      <c r="B31" s="425">
        <f t="shared" si="1"/>
        <v>195372.68464570306</v>
      </c>
      <c r="C31" s="280">
        <f t="shared" si="2"/>
        <v>1125.1375203495847</v>
      </c>
      <c r="D31" s="425">
        <f t="shared" si="2"/>
        <v>56.87735626767202</v>
      </c>
      <c r="E31" s="425">
        <f t="shared" si="2"/>
        <v>32047.804922457381</v>
      </c>
      <c r="F31" s="280">
        <f t="shared" si="2"/>
        <v>93319.195495244654</v>
      </c>
      <c r="G31" s="425">
        <f t="shared" si="2"/>
        <v>6590.5343907977058</v>
      </c>
      <c r="H31" s="425">
        <f t="shared" si="2"/>
        <v>46065.487908062729</v>
      </c>
      <c r="I31" s="425">
        <f t="shared" si="2"/>
        <v>8591.583197669439</v>
      </c>
      <c r="J31" s="425">
        <f t="shared" si="2"/>
        <v>1286.4623853997091</v>
      </c>
      <c r="K31" s="280">
        <f t="shared" si="2"/>
        <v>0</v>
      </c>
      <c r="L31" s="280">
        <f t="shared" si="2"/>
        <v>0</v>
      </c>
      <c r="M31" s="280">
        <f t="shared" si="2"/>
        <v>6289.6014694542046</v>
      </c>
      <c r="N31" s="233"/>
      <c r="O31" s="7" t="s">
        <v>58</v>
      </c>
      <c r="P31" s="8">
        <f>(B31*1000)/SUM('Population Figures'!$W33:$Y33)</f>
        <v>626.43543877678303</v>
      </c>
      <c r="Q31" s="280">
        <f>(C31*1000)/SUM('Population Figures'!$W33:$Y33)</f>
        <v>3.6075975386353236</v>
      </c>
      <c r="R31" s="8">
        <f>(D31*1000)/SUM('Population Figures'!$W33)</f>
        <v>0.88183314884993591</v>
      </c>
      <c r="S31" s="8">
        <f>(E31*1000)/SUM('Population Figures'!$W33)</f>
        <v>496.87289605199123</v>
      </c>
      <c r="T31" s="7">
        <f>(F31*1000)/SUM('Population Figures'!$Y33)</f>
        <v>1786.8682718093758</v>
      </c>
      <c r="U31" s="8">
        <f>(G31*1000)/SUM('Population Figures'!$X33)</f>
        <v>33.770595783873951</v>
      </c>
      <c r="V31" s="8">
        <f>(H31*1000)/SUM('Population Figures'!$X33)</f>
        <v>236.04443577477878</v>
      </c>
      <c r="W31" s="8">
        <f>(I31*1000)/SUM('Population Figures'!$X33)</f>
        <v>44.02418166835475</v>
      </c>
      <c r="X31" s="185">
        <f>(J31*1000)/SUM('Population Figures'!$X33)</f>
        <v>6.5919694265085829</v>
      </c>
      <c r="Y31" s="186">
        <f>(K31*1000)/SUM('Population Figures'!$X33)</f>
        <v>0</v>
      </c>
      <c r="Z31" s="186">
        <f>(L31*1000)/SUM('Population Figures'!$X33)</f>
        <v>0</v>
      </c>
      <c r="AA31" s="186">
        <f>(M31*1000)/SUM('Population Figures'!$X33)</f>
        <v>32.228583643107079</v>
      </c>
      <c r="AC31" s="233"/>
      <c r="AD31" s="121"/>
    </row>
    <row r="32" spans="1:30">
      <c r="A32" s="7" t="s">
        <v>59</v>
      </c>
      <c r="B32" s="425">
        <f t="shared" si="1"/>
        <v>55658.112576043197</v>
      </c>
      <c r="C32" s="280">
        <f t="shared" si="2"/>
        <v>243.02143132550773</v>
      </c>
      <c r="D32" s="425">
        <f t="shared" si="2"/>
        <v>0</v>
      </c>
      <c r="E32" s="425">
        <f t="shared" si="2"/>
        <v>10800.492888355757</v>
      </c>
      <c r="F32" s="280">
        <f t="shared" si="2"/>
        <v>27083.962920915095</v>
      </c>
      <c r="G32" s="425">
        <f t="shared" si="2"/>
        <v>3121.015658469712</v>
      </c>
      <c r="H32" s="425">
        <f t="shared" si="2"/>
        <v>9423.0267329277722</v>
      </c>
      <c r="I32" s="425">
        <f t="shared" si="2"/>
        <v>2314.3913332190905</v>
      </c>
      <c r="J32" s="425">
        <f t="shared" si="2"/>
        <v>344.36653885699604</v>
      </c>
      <c r="K32" s="280">
        <f t="shared" si="2"/>
        <v>0</v>
      </c>
      <c r="L32" s="280">
        <f t="shared" si="2"/>
        <v>0</v>
      </c>
      <c r="M32" s="280">
        <f t="shared" si="2"/>
        <v>2327.8350719732675</v>
      </c>
      <c r="N32" s="233"/>
      <c r="O32" s="7" t="s">
        <v>59</v>
      </c>
      <c r="P32" s="8">
        <f>(B32*1000)/SUM('Population Figures'!$W34:$Y34)</f>
        <v>619.45589956642402</v>
      </c>
      <c r="Q32" s="280">
        <f>(C32*1000)/SUM('Population Figures'!$W34:$Y34)</f>
        <v>2.7047460358988062</v>
      </c>
      <c r="R32" s="8">
        <f>(D32*1000)/SUM('Population Figures'!$W34)</f>
        <v>0</v>
      </c>
      <c r="S32" s="8">
        <f>(E32*1000)/SUM('Population Figures'!$W34)</f>
        <v>577.0727125644238</v>
      </c>
      <c r="T32" s="7">
        <f>(F32*1000)/SUM('Population Figures'!$Y34)</f>
        <v>1759.2700825537574</v>
      </c>
      <c r="U32" s="8">
        <f>(G32*1000)/SUM('Population Figures'!$X34)</f>
        <v>55.993391673150072</v>
      </c>
      <c r="V32" s="8">
        <f>(H32*1000)/SUM('Population Figures'!$X34)</f>
        <v>169.05625743066383</v>
      </c>
      <c r="W32" s="8">
        <f>(I32*1000)/SUM('Population Figures'!$X34)</f>
        <v>41.521938556828978</v>
      </c>
      <c r="X32" s="185">
        <f>(J32*1000)/SUM('Population Figures'!$X34)</f>
        <v>6.1781972919678507</v>
      </c>
      <c r="Y32" s="186">
        <f>(K32*1000)/SUM('Population Figures'!$X34)</f>
        <v>0</v>
      </c>
      <c r="Z32" s="186">
        <f>(L32*1000)/SUM('Population Figures'!$X34)</f>
        <v>0</v>
      </c>
      <c r="AA32" s="186">
        <f>(M32*1000)/SUM('Population Figures'!$X34)</f>
        <v>41.763129442100997</v>
      </c>
      <c r="AC32" s="233"/>
      <c r="AD32" s="121"/>
    </row>
    <row r="33" spans="1:30">
      <c r="A33" s="7" t="s">
        <v>60</v>
      </c>
      <c r="B33" s="425">
        <f t="shared" si="1"/>
        <v>77910.60261545713</v>
      </c>
      <c r="C33" s="280">
        <f t="shared" si="2"/>
        <v>1782.8465855539375</v>
      </c>
      <c r="D33" s="425">
        <f t="shared" si="2"/>
        <v>43.433617513495001</v>
      </c>
      <c r="E33" s="425">
        <f t="shared" si="2"/>
        <v>16047.687537486081</v>
      </c>
      <c r="F33" s="280">
        <f t="shared" si="2"/>
        <v>31927.845407420111</v>
      </c>
      <c r="G33" s="425">
        <f t="shared" si="2"/>
        <v>6332.0009532173781</v>
      </c>
      <c r="H33" s="425">
        <f t="shared" si="2"/>
        <v>14228.646270670897</v>
      </c>
      <c r="I33" s="425">
        <f t="shared" si="2"/>
        <v>5361.9834954159896</v>
      </c>
      <c r="J33" s="425">
        <f t="shared" si="2"/>
        <v>2105.4963156541862</v>
      </c>
      <c r="K33" s="280">
        <f t="shared" si="2"/>
        <v>29.989878759317975</v>
      </c>
      <c r="L33" s="280">
        <f t="shared" si="2"/>
        <v>41.365350012852382</v>
      </c>
      <c r="M33" s="280">
        <f t="shared" si="2"/>
        <v>9.3072037528917857</v>
      </c>
      <c r="N33" s="233"/>
      <c r="O33" s="7" t="s">
        <v>60</v>
      </c>
      <c r="P33" s="8">
        <f>(B33*1000)/SUM('Population Figures'!$W35:$Y35)</f>
        <v>860.22526902348602</v>
      </c>
      <c r="Q33" s="280">
        <f>(C33*1000)/SUM('Population Figures'!$W35:$Y35)</f>
        <v>19.684736508269157</v>
      </c>
      <c r="R33" s="8">
        <f>(D33*1000)/SUM('Population Figures'!$W35)</f>
        <v>2.355019113674294</v>
      </c>
      <c r="S33" s="8">
        <f>(E33*1000)/SUM('Population Figures'!$W35)</f>
        <v>870.12349061899272</v>
      </c>
      <c r="T33" s="7">
        <f>(F33*1000)/SUM('Population Figures'!$Y35)</f>
        <v>2141.3712546894776</v>
      </c>
      <c r="U33" s="8">
        <f>(G33*1000)/SUM('Population Figures'!$X35)</f>
        <v>110.66642699228163</v>
      </c>
      <c r="V33" s="8">
        <f>(H33*1000)/SUM('Population Figures'!$X35)</f>
        <v>248.67864918941743</v>
      </c>
      <c r="W33" s="8">
        <f>(I33*1000)/SUM('Population Figures'!$X35)</f>
        <v>93.713118398657556</v>
      </c>
      <c r="X33" s="185">
        <f>(J33*1000)/SUM('Population Figures'!$X35)</f>
        <v>36.798439548633901</v>
      </c>
      <c r="Y33" s="186">
        <f>(K33*1000)/SUM('Population Figures'!$X35)</f>
        <v>0.52414280300117055</v>
      </c>
      <c r="Z33" s="186">
        <f>(L33*1000)/SUM('Population Figures'!$X35)</f>
        <v>0.72295559034644219</v>
      </c>
      <c r="AA33" s="186">
        <f>(M33*1000)/SUM('Population Figures'!$X35)</f>
        <v>0.16266500782794949</v>
      </c>
      <c r="AC33" s="233"/>
      <c r="AD33" s="121"/>
    </row>
    <row r="34" spans="1:30">
      <c r="A34" s="7" t="s">
        <v>61</v>
      </c>
      <c r="B34" s="425">
        <f t="shared" si="1"/>
        <v>91134.070880815721</v>
      </c>
      <c r="C34" s="280">
        <f t="shared" si="2"/>
        <v>3690.8233548967537</v>
      </c>
      <c r="D34" s="425">
        <f t="shared" si="2"/>
        <v>102.37924128180964</v>
      </c>
      <c r="E34" s="425">
        <f t="shared" si="2"/>
        <v>21112.874646559856</v>
      </c>
      <c r="F34" s="280">
        <f t="shared" si="2"/>
        <v>35826.529646131443</v>
      </c>
      <c r="G34" s="425">
        <f t="shared" si="2"/>
        <v>5610.1755954931041</v>
      </c>
      <c r="H34" s="425">
        <f t="shared" si="2"/>
        <v>15040.441264673125</v>
      </c>
      <c r="I34" s="425">
        <f t="shared" si="2"/>
        <v>4538.8130301602278</v>
      </c>
      <c r="J34" s="425">
        <f t="shared" si="2"/>
        <v>2443.6580520092543</v>
      </c>
      <c r="K34" s="280">
        <f t="shared" si="2"/>
        <v>9.3072037528917857</v>
      </c>
      <c r="L34" s="280">
        <f t="shared" si="2"/>
        <v>0</v>
      </c>
      <c r="M34" s="280">
        <f t="shared" si="2"/>
        <v>2759.0688458572536</v>
      </c>
      <c r="N34" s="233"/>
      <c r="O34" s="7" t="s">
        <v>61</v>
      </c>
      <c r="P34" s="8">
        <f>(B34*1000)/SUM('Population Figures'!$W36:$Y36)</f>
        <v>529.60292236643261</v>
      </c>
      <c r="Q34" s="280">
        <f>(C34*1000)/SUM('Population Figures'!$W36:$Y36)</f>
        <v>21.448299365973696</v>
      </c>
      <c r="R34" s="8">
        <f>(D34*1000)/SUM('Population Figures'!$W36)</f>
        <v>2.5957567323802548</v>
      </c>
      <c r="S34" s="8">
        <f>(E34*1000)/SUM('Population Figures'!$W36)</f>
        <v>535.30272169975046</v>
      </c>
      <c r="T34" s="7">
        <f>(F34*1000)/SUM('Population Figures'!$Y36)</f>
        <v>1527.6534899424971</v>
      </c>
      <c r="U34" s="8">
        <f>(G34*1000)/SUM('Population Figures'!$X36)</f>
        <v>51.381351218488504</v>
      </c>
      <c r="V34" s="8">
        <f>(H34*1000)/SUM('Population Figures'!$X36)</f>
        <v>137.74937734962151</v>
      </c>
      <c r="W34" s="8">
        <f>(I34*1000)/SUM('Population Figures'!$X36)</f>
        <v>41.569170598699735</v>
      </c>
      <c r="X34" s="185">
        <f>(J34*1000)/SUM('Population Figures'!$X36)</f>
        <v>22.38048533258771</v>
      </c>
      <c r="Y34" s="186">
        <f>(K34*1000)/SUM('Population Figures'!$X36)</f>
        <v>8.524095133021134E-2</v>
      </c>
      <c r="Z34" s="186">
        <f>(L34*1000)/SUM('Population Figures'!$X36)</f>
        <v>0</v>
      </c>
      <c r="AA34" s="186">
        <f>(M34*1000)/SUM('Population Figures'!$X36)</f>
        <v>25.269206461000429</v>
      </c>
      <c r="AC34" s="233"/>
      <c r="AD34" s="121"/>
    </row>
    <row r="35" spans="1:30">
      <c r="A35" s="52" t="s">
        <v>5</v>
      </c>
      <c r="B35" s="423">
        <f t="shared" si="1"/>
        <v>3732201.1145146098</v>
      </c>
      <c r="C35" s="424">
        <f t="shared" si="2"/>
        <v>31747.906134864203</v>
      </c>
      <c r="D35" s="423">
        <f t="shared" si="2"/>
        <v>2465.3748607660018</v>
      </c>
      <c r="E35" s="423">
        <f t="shared" si="2"/>
        <v>800241.65174363833</v>
      </c>
      <c r="F35" s="424">
        <f t="shared" si="2"/>
        <v>1664536.5138484281</v>
      </c>
      <c r="G35" s="423">
        <f t="shared" si="2"/>
        <v>217016.06990617776</v>
      </c>
      <c r="H35" s="423">
        <f t="shared" si="2"/>
        <v>676723.68247151072</v>
      </c>
      <c r="I35" s="423">
        <f t="shared" si="2"/>
        <v>160828.48084997004</v>
      </c>
      <c r="J35" s="423">
        <f t="shared" si="2"/>
        <v>61566.118691628842</v>
      </c>
      <c r="K35" s="424">
        <f t="shared" si="2"/>
        <v>2197.5342194327827</v>
      </c>
      <c r="L35" s="424">
        <f t="shared" si="2"/>
        <v>1591.5318417444953</v>
      </c>
      <c r="M35" s="424">
        <f t="shared" si="2"/>
        <v>113286.24994644849</v>
      </c>
      <c r="N35" s="233"/>
      <c r="O35" s="52" t="s">
        <v>5</v>
      </c>
      <c r="P35" s="53">
        <f>(B35*1000)/SUM('Population Figures'!$W37:$Y37)</f>
        <v>714.69353603236436</v>
      </c>
      <c r="Q35" s="52">
        <f>(C35*1000)/SUM('Population Figures'!$W37:$Y37)</f>
        <v>6.0795285679830346</v>
      </c>
      <c r="R35" s="53">
        <f>(D35*1000)/SUM('Population Figures'!$W37)</f>
        <v>2.375488742248077</v>
      </c>
      <c r="S35" s="53">
        <f>(E35*1000)/SUM('Population Figures'!$W37)</f>
        <v>771.06531142464132</v>
      </c>
      <c r="T35" s="52">
        <f>(F35*1000)/SUM('Population Figures'!$Y37)</f>
        <v>1892.6113186344255</v>
      </c>
      <c r="U35" s="53">
        <f>(G35*1000)/SUM('Population Figures'!$X37)</f>
        <v>65.667545872700259</v>
      </c>
      <c r="V35" s="53">
        <f>(H35*1000)/SUM('Population Figures'!$X37)</f>
        <v>204.77185620886385</v>
      </c>
      <c r="W35" s="53">
        <f>(I35*1000)/SUM('Population Figures'!$X37)</f>
        <v>48.665574159637188</v>
      </c>
      <c r="X35" s="445">
        <f>(J35*1000)/SUM('Population Figures'!$X37)</f>
        <v>18.629477186341571</v>
      </c>
      <c r="Y35" s="446">
        <f>(K35*1000)/SUM('Population Figures'!$X37)</f>
        <v>0.66495849465810863</v>
      </c>
      <c r="Z35" s="446">
        <f>(L35*1000)/SUM('Population Figures'!$X37)</f>
        <v>0.48158641095474308</v>
      </c>
      <c r="AA35" s="446">
        <f>(M35*1000)/SUM('Population Figures'!$X37)</f>
        <v>34.279627394970262</v>
      </c>
      <c r="AC35" s="233"/>
      <c r="AD35" s="121"/>
    </row>
    <row r="37" spans="1:30" ht="13.5" thickBot="1"/>
    <row r="38" spans="1:30">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30"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0">
        <f>Deflators!$K$2/Deflators!G2</f>
        <v>1.0903639628245232</v>
      </c>
      <c r="H39" s="560">
        <f>Deflators!$K$2/Deflators!H2</f>
        <v>1.0651759021258289</v>
      </c>
      <c r="I39" s="561">
        <f>Deflators!$K$2/Deflators!I2</f>
        <v>1.0341337503213095</v>
      </c>
      <c r="J39" s="565">
        <f>Deflators!$K$2/Deflators!J2</f>
        <v>1.0183193064607987</v>
      </c>
      <c r="K39" s="563">
        <f>Deflators!$K$2/Deflators!K2</f>
        <v>1</v>
      </c>
      <c r="N39" s="233"/>
      <c r="S39" s="11"/>
      <c r="V39" s="11"/>
      <c r="W39" s="11"/>
      <c r="X39" s="149"/>
    </row>
    <row r="40" spans="1:30">
      <c r="N40" s="233"/>
      <c r="S40" s="11"/>
      <c r="V40" s="11"/>
      <c r="W40" s="11"/>
      <c r="X40" s="149"/>
    </row>
    <row r="41" spans="1:30">
      <c r="N41" s="233"/>
      <c r="U41" s="11"/>
    </row>
    <row r="42" spans="1:30">
      <c r="N42" s="233"/>
      <c r="U42" s="11"/>
    </row>
    <row r="43" spans="1:30">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30" ht="63.75">
      <c r="A44" s="21" t="s">
        <v>26</v>
      </c>
      <c r="B44" s="10" t="s">
        <v>9</v>
      </c>
      <c r="C44" s="9" t="s">
        <v>10</v>
      </c>
      <c r="D44" s="10" t="s">
        <v>11</v>
      </c>
      <c r="E44" s="10" t="s">
        <v>12</v>
      </c>
      <c r="F44" s="9" t="s">
        <v>14</v>
      </c>
      <c r="G44" s="10" t="s">
        <v>15</v>
      </c>
      <c r="H44" s="10" t="s">
        <v>16</v>
      </c>
      <c r="I44" s="10" t="s">
        <v>17</v>
      </c>
      <c r="J44" s="186" t="s">
        <v>351</v>
      </c>
      <c r="K44" s="18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30">
      <c r="A45" s="7" t="s">
        <v>31</v>
      </c>
      <c r="B45" s="425">
        <v>156432</v>
      </c>
      <c r="C45" s="280">
        <v>701</v>
      </c>
      <c r="D45" s="425">
        <v>0</v>
      </c>
      <c r="E45" s="425">
        <v>34629</v>
      </c>
      <c r="F45" s="280">
        <v>63819</v>
      </c>
      <c r="G45" s="425">
        <v>9457</v>
      </c>
      <c r="H45" s="425">
        <v>30519</v>
      </c>
      <c r="I45" s="425">
        <v>9544</v>
      </c>
      <c r="J45" s="425">
        <v>2197</v>
      </c>
      <c r="K45" s="280">
        <v>0</v>
      </c>
      <c r="L45" s="280">
        <v>0</v>
      </c>
      <c r="M45" s="280">
        <v>5566</v>
      </c>
      <c r="N45" s="233"/>
      <c r="O45" s="7" t="s">
        <v>31</v>
      </c>
      <c r="P45" s="425">
        <f>(B45*1000)/SUM('Population Figures'!$W5:$Y5)</f>
        <v>720.48636698599853</v>
      </c>
      <c r="Q45" s="280">
        <f>(C45/SUM('Population Figures'!W5:Y5))*1000</f>
        <v>3.2286293294030948</v>
      </c>
      <c r="R45" s="425">
        <f>(D45/'Population Figures'!W5)*1000</f>
        <v>0</v>
      </c>
      <c r="S45" s="425">
        <f>(E45/'Population Figures'!W5)*1000</f>
        <v>899.01087774864357</v>
      </c>
      <c r="T45" s="280">
        <f>(F45/'Population Figures'!Y5)*1000</f>
        <v>1987.8212116492757</v>
      </c>
      <c r="U45" s="425">
        <f>(G45/'Population Figures'!X5)*1000</f>
        <v>64.554663608562691</v>
      </c>
      <c r="V45" s="425">
        <f>(H45/'Population Figures'!X5)*1000</f>
        <v>208.32650720838794</v>
      </c>
      <c r="W45" s="425">
        <f>(I45/'Population Figures'!X5)*1000</f>
        <v>65.148536478811707</v>
      </c>
      <c r="X45" s="500">
        <f>(J45/'Population Figures'!X5)*1000</f>
        <v>14.996996505024027</v>
      </c>
      <c r="Y45" s="186">
        <f>(K45/'Population Figures'!X5)*1000</f>
        <v>0</v>
      </c>
      <c r="Z45" s="186">
        <f>(L45/'Population Figures'!X5)*1000</f>
        <v>0</v>
      </c>
      <c r="AA45" s="501">
        <f>(M45/'Population Figures'!X5)*1000</f>
        <v>37.994211446046307</v>
      </c>
    </row>
    <row r="46" spans="1:30">
      <c r="A46" s="7" t="s">
        <v>32</v>
      </c>
      <c r="B46" s="425">
        <v>151983</v>
      </c>
      <c r="C46" s="280">
        <v>1050</v>
      </c>
      <c r="D46" s="425">
        <v>93</v>
      </c>
      <c r="E46" s="425">
        <v>26502</v>
      </c>
      <c r="F46" s="280">
        <v>64716</v>
      </c>
      <c r="G46" s="425">
        <v>7946</v>
      </c>
      <c r="H46" s="425">
        <v>40135</v>
      </c>
      <c r="I46" s="425">
        <v>5428</v>
      </c>
      <c r="J46" s="425">
        <v>2583</v>
      </c>
      <c r="K46" s="280">
        <v>0</v>
      </c>
      <c r="L46" s="280">
        <v>0</v>
      </c>
      <c r="M46" s="280">
        <v>3530</v>
      </c>
      <c r="N46" s="233"/>
      <c r="O46" s="7" t="s">
        <v>32</v>
      </c>
      <c r="P46" s="425">
        <f>(B46*1000)/SUM('Population Figures'!$W6:$Y6)</f>
        <v>618.37008706973711</v>
      </c>
      <c r="Q46" s="280">
        <f>(C46/SUM('Population Figures'!W6:Y6))*1000</f>
        <v>4.2721132720318993</v>
      </c>
      <c r="R46" s="425">
        <f>(D46/'Population Figures'!W6)*1000</f>
        <v>1.7571703888448023</v>
      </c>
      <c r="S46" s="425">
        <f>(E46/'Population Figures'!W6)*1000</f>
        <v>500.73687790499946</v>
      </c>
      <c r="T46" s="280">
        <f>(F46/'Population Figures'!Y6)*1000</f>
        <v>1617.0106441457199</v>
      </c>
      <c r="U46" s="425">
        <f>(G46/'Population Figures'!X6)*1000</f>
        <v>51.991729480737021</v>
      </c>
      <c r="V46" s="425">
        <f>(H46/'Population Figures'!X6)*1000</f>
        <v>262.60861599664992</v>
      </c>
      <c r="W46" s="425">
        <f>(I46/'Population Figures'!X6)*1000</f>
        <v>35.516122278056947</v>
      </c>
      <c r="X46" s="500">
        <f>(J46/'Population Figures'!X6)*1000</f>
        <v>16.900910804020103</v>
      </c>
      <c r="Y46" s="186">
        <f>(K46/'Population Figures'!X6)*1000</f>
        <v>0</v>
      </c>
      <c r="Z46" s="186">
        <f>(L46/'Population Figures'!X6)*1000</f>
        <v>0</v>
      </c>
      <c r="AA46" s="501">
        <f>(M46/'Population Figures'!X6)*1000</f>
        <v>23.097257118927974</v>
      </c>
    </row>
    <row r="47" spans="1:30">
      <c r="A47" s="7" t="s">
        <v>33</v>
      </c>
      <c r="B47" s="425">
        <v>74386</v>
      </c>
      <c r="C47" s="280">
        <v>392</v>
      </c>
      <c r="D47" s="425">
        <v>122</v>
      </c>
      <c r="E47" s="425">
        <v>15016</v>
      </c>
      <c r="F47" s="280">
        <v>37002</v>
      </c>
      <c r="G47" s="425">
        <v>4112</v>
      </c>
      <c r="H47" s="425">
        <v>12066</v>
      </c>
      <c r="I47" s="425">
        <v>3094</v>
      </c>
      <c r="J47" s="425">
        <v>980</v>
      </c>
      <c r="K47" s="280">
        <v>32</v>
      </c>
      <c r="L47" s="280">
        <v>0</v>
      </c>
      <c r="M47" s="280">
        <v>1570</v>
      </c>
      <c r="N47" s="233"/>
      <c r="O47" s="7" t="s">
        <v>33</v>
      </c>
      <c r="P47" s="425">
        <f>(B47*1000)/SUM('Population Figures'!$W7:$Y7)</f>
        <v>672.75029393144609</v>
      </c>
      <c r="Q47" s="280">
        <f>(C47/SUM('Population Figures'!W7:Y7))*1000</f>
        <v>3.5452654427059778</v>
      </c>
      <c r="R47" s="425">
        <f>(D47/'Population Figures'!W7)*1000</f>
        <v>5.467419557228645</v>
      </c>
      <c r="S47" s="425">
        <f>(E47/'Population Figures'!W7)*1000</f>
        <v>672.9407546831585</v>
      </c>
      <c r="T47" s="280">
        <f>(F47/'Population Figures'!Y7)*1000</f>
        <v>1659.7290750874677</v>
      </c>
      <c r="U47" s="425">
        <f>(G47/'Population Figures'!X7)*1000</f>
        <v>62.338922409872346</v>
      </c>
      <c r="V47" s="425">
        <f>(H47/'Population Figures'!X7)*1000</f>
        <v>182.92350140990268</v>
      </c>
      <c r="W47" s="425">
        <f>(I47/'Population Figures'!X7)*1000</f>
        <v>46.905794245171457</v>
      </c>
      <c r="X47" s="500">
        <f>(J47/'Population Figures'!X7)*1000</f>
        <v>14.857038901185531</v>
      </c>
      <c r="Y47" s="186">
        <f>(K47/'Population Figures'!X7)*1000</f>
        <v>0.48512780085503776</v>
      </c>
      <c r="Z47" s="186">
        <f>(L47/'Population Figures'!X7)*1000</f>
        <v>0</v>
      </c>
      <c r="AA47" s="501">
        <f>(M47/'Population Figures'!X7)*1000</f>
        <v>23.801582729450288</v>
      </c>
    </row>
    <row r="48" spans="1:30">
      <c r="A48" s="7" t="s">
        <v>34</v>
      </c>
      <c r="B48" s="425">
        <v>58797</v>
      </c>
      <c r="C48" s="280">
        <v>190</v>
      </c>
      <c r="D48" s="425">
        <v>59</v>
      </c>
      <c r="E48" s="425">
        <v>11011</v>
      </c>
      <c r="F48" s="280">
        <v>32634</v>
      </c>
      <c r="G48" s="425">
        <v>878</v>
      </c>
      <c r="H48" s="425">
        <v>11240</v>
      </c>
      <c r="I48" s="425">
        <v>2351</v>
      </c>
      <c r="J48" s="425">
        <v>346</v>
      </c>
      <c r="K48" s="280">
        <v>0</v>
      </c>
      <c r="L48" s="280">
        <v>0</v>
      </c>
      <c r="M48" s="280">
        <v>88</v>
      </c>
      <c r="N48" s="233"/>
      <c r="O48" s="7" t="s">
        <v>34</v>
      </c>
      <c r="P48" s="425">
        <f>(B48*1000)/SUM('Population Figures'!$W8:$Y8)</f>
        <v>659.15919282511209</v>
      </c>
      <c r="Q48" s="280">
        <f>(C48/SUM('Population Figures'!W8:Y8))*1000</f>
        <v>2.1300448430493271</v>
      </c>
      <c r="R48" s="425">
        <f>(D48/'Population Figures'!W8)*1000</f>
        <v>3.5677571506319161</v>
      </c>
      <c r="S48" s="425">
        <f>(E48/'Population Figures'!W8)*1000</f>
        <v>665.84023704420395</v>
      </c>
      <c r="T48" s="280">
        <f>(F48/'Population Figures'!Y8)*1000</f>
        <v>1686.3373294749897</v>
      </c>
      <c r="U48" s="425">
        <f>(G48/'Population Figures'!X8)*1000</f>
        <v>16.469396559809422</v>
      </c>
      <c r="V48" s="425">
        <f>(H48/'Population Figures'!X8)*1000</f>
        <v>210.83828853332335</v>
      </c>
      <c r="W48" s="425">
        <f>(I48/'Population Figures'!X8)*1000</f>
        <v>44.099716756391736</v>
      </c>
      <c r="X48" s="500">
        <f>(J48/'Population Figures'!X8)*1000</f>
        <v>6.490217778694829</v>
      </c>
      <c r="Y48" s="186">
        <f>(K48/'Population Figures'!X8)*1000</f>
        <v>0</v>
      </c>
      <c r="Z48" s="186">
        <f>(L48/'Population Figures'!X8)*1000</f>
        <v>0</v>
      </c>
      <c r="AA48" s="501">
        <f>(M48/'Population Figures'!X8)*1000</f>
        <v>1.6506912269512859</v>
      </c>
    </row>
    <row r="49" spans="1:27">
      <c r="A49" s="7" t="s">
        <v>35</v>
      </c>
      <c r="B49" s="425">
        <v>35611</v>
      </c>
      <c r="C49" s="280">
        <v>56</v>
      </c>
      <c r="D49" s="425">
        <v>47</v>
      </c>
      <c r="E49" s="425">
        <v>8605</v>
      </c>
      <c r="F49" s="280">
        <v>15036</v>
      </c>
      <c r="G49" s="425">
        <v>3373</v>
      </c>
      <c r="H49" s="425">
        <v>4407</v>
      </c>
      <c r="I49" s="425">
        <v>2148</v>
      </c>
      <c r="J49" s="425">
        <v>202</v>
      </c>
      <c r="K49" s="280">
        <v>0</v>
      </c>
      <c r="L49" s="280">
        <v>0</v>
      </c>
      <c r="M49" s="280">
        <v>1737</v>
      </c>
      <c r="N49" s="233"/>
      <c r="O49" s="7" t="s">
        <v>35</v>
      </c>
      <c r="P49" s="425">
        <f>(B49*1000)/SUM('Population Figures'!$W9:$Y9)</f>
        <v>703.35769306735142</v>
      </c>
      <c r="Q49" s="280">
        <f>(C49/SUM('Population Figures'!W9:Y9))*1000</f>
        <v>1.1060635986569229</v>
      </c>
      <c r="R49" s="425">
        <f>(D49/'Population Figures'!W9)*1000</f>
        <v>4.3474239200813987</v>
      </c>
      <c r="S49" s="425">
        <f>(E49/'Population Figures'!W9)*1000</f>
        <v>795.94857090000926</v>
      </c>
      <c r="T49" s="280">
        <f>(F49/'Population Figures'!Y9)*1000</f>
        <v>1858.3611420096404</v>
      </c>
      <c r="U49" s="425">
        <f>(G49/'Population Figures'!X9)*1000</f>
        <v>106.30988401412002</v>
      </c>
      <c r="V49" s="425">
        <f>(H49/'Population Figures'!X9)*1000</f>
        <v>138.89939485627838</v>
      </c>
      <c r="W49" s="425">
        <f>(I49/'Population Figures'!X9)*1000</f>
        <v>67.700453857791217</v>
      </c>
      <c r="X49" s="500">
        <f>(J49/'Population Figures'!X9)*1000</f>
        <v>6.3666162380231972</v>
      </c>
      <c r="Y49" s="186">
        <f>(K49/'Population Figures'!X9)*1000</f>
        <v>0</v>
      </c>
      <c r="Z49" s="186">
        <f>(L49/'Population Figures'!X9)*1000</f>
        <v>0</v>
      </c>
      <c r="AA49" s="501">
        <f>(M49/'Population Figures'!X9)*1000</f>
        <v>54.746596066565807</v>
      </c>
    </row>
    <row r="50" spans="1:27">
      <c r="A50" s="7" t="s">
        <v>36</v>
      </c>
      <c r="B50" s="425">
        <v>105840</v>
      </c>
      <c r="C50" s="280">
        <v>3132</v>
      </c>
      <c r="D50" s="425">
        <v>120</v>
      </c>
      <c r="E50" s="425">
        <v>21080</v>
      </c>
      <c r="F50" s="280">
        <v>51375</v>
      </c>
      <c r="G50" s="425">
        <v>6671</v>
      </c>
      <c r="H50" s="425">
        <v>16041</v>
      </c>
      <c r="I50" s="425">
        <v>3615</v>
      </c>
      <c r="J50" s="425">
        <v>507</v>
      </c>
      <c r="K50" s="280">
        <v>0</v>
      </c>
      <c r="L50" s="280">
        <v>0</v>
      </c>
      <c r="M50" s="280">
        <v>3299</v>
      </c>
      <c r="N50" s="233"/>
      <c r="O50" s="7" t="s">
        <v>36</v>
      </c>
      <c r="P50" s="425">
        <f>(B50*1000)/SUM('Population Figures'!$W10:$Y10)</f>
        <v>714.2182333490789</v>
      </c>
      <c r="Q50" s="280">
        <f>(C50/SUM('Population Figures'!W10:Y10))*1000</f>
        <v>21.135029354207436</v>
      </c>
      <c r="R50" s="425">
        <f>(D50/'Population Figures'!W10)*1000</f>
        <v>4.2624231875821401</v>
      </c>
      <c r="S50" s="425">
        <f>(E50/'Population Figures'!W10)*1000</f>
        <v>748.76567328526266</v>
      </c>
      <c r="T50" s="280">
        <f>(F50/'Population Figures'!Y10)*1000</f>
        <v>1563.9745502146186</v>
      </c>
      <c r="U50" s="425">
        <f>(G50/'Population Figures'!X10)*1000</f>
        <v>76.512822865531959</v>
      </c>
      <c r="V50" s="425">
        <f>(H50/'Population Figures'!X10)*1000</f>
        <v>183.9817406065055</v>
      </c>
      <c r="W50" s="425">
        <f>(I50/'Population Figures'!X10)*1000</f>
        <v>41.462127815754457</v>
      </c>
      <c r="X50" s="500">
        <f>(J50/'Population Figures'!X10)*1000</f>
        <v>5.8150204156535308</v>
      </c>
      <c r="Y50" s="186">
        <f>(K50/'Population Figures'!X10)*1000</f>
        <v>0</v>
      </c>
      <c r="Z50" s="186">
        <f>(L50/'Population Figures'!X10)*1000</f>
        <v>0</v>
      </c>
      <c r="AA50" s="501">
        <f>(M50/'Population Figures'!X10)*1000</f>
        <v>37.837775840712027</v>
      </c>
    </row>
    <row r="51" spans="1:27">
      <c r="A51" s="7" t="s">
        <v>37</v>
      </c>
      <c r="B51" s="425">
        <v>114716</v>
      </c>
      <c r="C51" s="280">
        <v>924</v>
      </c>
      <c r="D51" s="425">
        <v>247</v>
      </c>
      <c r="E51" s="425">
        <v>29714</v>
      </c>
      <c r="F51" s="280">
        <v>48242</v>
      </c>
      <c r="G51" s="425">
        <v>7561</v>
      </c>
      <c r="H51" s="425">
        <v>17528</v>
      </c>
      <c r="I51" s="425">
        <v>3986</v>
      </c>
      <c r="J51" s="425">
        <v>1102</v>
      </c>
      <c r="K51" s="280">
        <v>230</v>
      </c>
      <c r="L51" s="280">
        <v>0</v>
      </c>
      <c r="M51" s="280">
        <v>5182</v>
      </c>
      <c r="N51" s="233"/>
      <c r="O51" s="7" t="s">
        <v>37</v>
      </c>
      <c r="P51" s="425">
        <f>(B51*1000)/SUM('Population Figures'!$W11:$Y11)</f>
        <v>795.03777115531227</v>
      </c>
      <c r="Q51" s="280">
        <f>(C51/SUM('Population Figures'!W11:Y11))*1000</f>
        <v>6.4037701850440083</v>
      </c>
      <c r="R51" s="425">
        <f>(D51/'Population Figures'!W11)*1000</f>
        <v>9.0519294902334444</v>
      </c>
      <c r="S51" s="425">
        <f>(E51/'Population Figures'!W11)*1000</f>
        <v>1088.9434529263017</v>
      </c>
      <c r="T51" s="280">
        <f>(F51/'Population Figures'!Y11)*1000</f>
        <v>1880.706405208374</v>
      </c>
      <c r="U51" s="425">
        <f>(G51/'Population Figures'!X11)*1000</f>
        <v>82.767755495227249</v>
      </c>
      <c r="V51" s="425">
        <f>(H51/'Population Figures'!X11)*1000</f>
        <v>191.87319379980732</v>
      </c>
      <c r="W51" s="425">
        <f>(I51/'Population Figures'!X11)*1000</f>
        <v>43.633417987564584</v>
      </c>
      <c r="X51" s="500">
        <f>(J51/'Population Figures'!X11)*1000</f>
        <v>12.063227953410982</v>
      </c>
      <c r="Y51" s="186">
        <f>(K51/'Population Figures'!X11)*1000</f>
        <v>2.5177336018915843</v>
      </c>
      <c r="Z51" s="186">
        <f>(L51/'Population Figures'!X11)*1000</f>
        <v>0</v>
      </c>
      <c r="AA51" s="501">
        <f>(M51/'Population Figures'!X11)*1000</f>
        <v>56.725632717400828</v>
      </c>
    </row>
    <row r="52" spans="1:27">
      <c r="A52" s="7" t="s">
        <v>38</v>
      </c>
      <c r="B52" s="425">
        <v>82588</v>
      </c>
      <c r="C52" s="280">
        <v>476</v>
      </c>
      <c r="D52" s="425">
        <v>71</v>
      </c>
      <c r="E52" s="425">
        <v>19715</v>
      </c>
      <c r="F52" s="280">
        <v>40093</v>
      </c>
      <c r="G52" s="425">
        <v>3819</v>
      </c>
      <c r="H52" s="425">
        <v>12568</v>
      </c>
      <c r="I52" s="425">
        <v>2819</v>
      </c>
      <c r="J52" s="425">
        <v>479</v>
      </c>
      <c r="K52" s="280">
        <v>0</v>
      </c>
      <c r="L52" s="280">
        <v>0</v>
      </c>
      <c r="M52" s="280">
        <v>2548</v>
      </c>
      <c r="N52" s="233"/>
      <c r="O52" s="7" t="s">
        <v>38</v>
      </c>
      <c r="P52" s="425">
        <f>(B52*1000)/SUM('Population Figures'!$W12:$Y12)</f>
        <v>686.85961410512311</v>
      </c>
      <c r="Q52" s="280">
        <f>(C52/SUM('Population Figures'!W12:Y12))*1000</f>
        <v>3.9587491683300065</v>
      </c>
      <c r="R52" s="425">
        <f>(D52/'Population Figures'!W12)*1000</f>
        <v>2.9207289481262082</v>
      </c>
      <c r="S52" s="425">
        <f>(E52/'Population Figures'!W12)*1000</f>
        <v>811.0164959480029</v>
      </c>
      <c r="T52" s="280">
        <f>(F52/'Population Figures'!Y12)*1000</f>
        <v>1895.0229238549889</v>
      </c>
      <c r="U52" s="425">
        <f>(G52/'Population Figures'!X12)*1000</f>
        <v>51.073902693449597</v>
      </c>
      <c r="V52" s="425">
        <f>(H52/'Population Figures'!X12)*1000</f>
        <v>168.07981383903495</v>
      </c>
      <c r="W52" s="425">
        <f>(I52/'Population Figures'!X12)*1000</f>
        <v>37.700270147377431</v>
      </c>
      <c r="X52" s="500">
        <f>(J52/'Population Figures'!X12)*1000</f>
        <v>6.4059699895685673</v>
      </c>
      <c r="Y52" s="186">
        <f>(K52/'Population Figures'!X12)*1000</f>
        <v>0</v>
      </c>
      <c r="Z52" s="186">
        <f>(L52/'Population Figures'!X12)*1000</f>
        <v>0</v>
      </c>
      <c r="AA52" s="501">
        <f>(M52/'Population Figures'!X12)*1000</f>
        <v>34.076015727391876</v>
      </c>
    </row>
    <row r="53" spans="1:27">
      <c r="A53" s="7" t="s">
        <v>39</v>
      </c>
      <c r="B53" s="425">
        <v>53381</v>
      </c>
      <c r="C53" s="280">
        <v>1438</v>
      </c>
      <c r="D53" s="425">
        <v>3</v>
      </c>
      <c r="E53" s="425">
        <v>9937</v>
      </c>
      <c r="F53" s="280">
        <v>24514</v>
      </c>
      <c r="G53" s="425">
        <v>3792</v>
      </c>
      <c r="H53" s="425">
        <v>10687</v>
      </c>
      <c r="I53" s="425">
        <v>2446</v>
      </c>
      <c r="J53" s="425">
        <v>564</v>
      </c>
      <c r="K53" s="280">
        <v>0</v>
      </c>
      <c r="L53" s="280">
        <v>0</v>
      </c>
      <c r="M53" s="280">
        <v>0</v>
      </c>
      <c r="N53" s="233"/>
      <c r="O53" s="7" t="s">
        <v>39</v>
      </c>
      <c r="P53" s="425">
        <f>(B53*1000)/SUM('Population Figures'!$W13:$Y13)</f>
        <v>510.43220501051826</v>
      </c>
      <c r="Q53" s="280">
        <f>(C53/SUM('Population Figures'!W13:Y13))*1000</f>
        <v>13.75023905144387</v>
      </c>
      <c r="R53" s="425">
        <f>(D53/'Population Figures'!W13)*1000</f>
        <v>0.13945704722945332</v>
      </c>
      <c r="S53" s="425">
        <f>(E53/'Population Figures'!W13)*1000</f>
        <v>461.92822610635926</v>
      </c>
      <c r="T53" s="280">
        <f>(F53/'Population Figures'!Y13)*1000</f>
        <v>1236.7066895368782</v>
      </c>
      <c r="U53" s="425">
        <f>(G53/'Population Figures'!X13)*1000</f>
        <v>59.956360876577172</v>
      </c>
      <c r="V53" s="425">
        <f>(H53/'Population Figures'!X13)*1000</f>
        <v>168.9751130506277</v>
      </c>
      <c r="W53" s="425">
        <f>(I53/'Population Figures'!X13)*1000</f>
        <v>38.674382569648678</v>
      </c>
      <c r="X53" s="500">
        <f>(J53/'Population Figures'!X13)*1000</f>
        <v>8.9175600037947049</v>
      </c>
      <c r="Y53" s="186">
        <f>(K53/'Population Figures'!X13)*1000</f>
        <v>0</v>
      </c>
      <c r="Z53" s="186">
        <f>(L53/'Population Figures'!X13)*1000</f>
        <v>0</v>
      </c>
      <c r="AA53" s="501">
        <f>(M53/'Population Figures'!X13)*1000</f>
        <v>0</v>
      </c>
    </row>
    <row r="54" spans="1:27">
      <c r="A54" s="7" t="s">
        <v>40</v>
      </c>
      <c r="B54" s="425">
        <v>59155</v>
      </c>
      <c r="C54" s="280">
        <v>849</v>
      </c>
      <c r="D54" s="425">
        <v>46</v>
      </c>
      <c r="E54" s="425">
        <v>10952</v>
      </c>
      <c r="F54" s="280">
        <v>29136</v>
      </c>
      <c r="G54" s="425">
        <v>4161</v>
      </c>
      <c r="H54" s="425">
        <v>10259</v>
      </c>
      <c r="I54" s="425">
        <v>1633</v>
      </c>
      <c r="J54" s="425">
        <v>1156</v>
      </c>
      <c r="K54" s="280">
        <v>0</v>
      </c>
      <c r="L54" s="280">
        <v>0</v>
      </c>
      <c r="M54" s="280">
        <v>963</v>
      </c>
      <c r="N54" s="233"/>
      <c r="O54" s="7" t="s">
        <v>40</v>
      </c>
      <c r="P54" s="425">
        <f>(B54*1000)/SUM('Population Figures'!$W14:$Y14)</f>
        <v>606.71794871794873</v>
      </c>
      <c r="Q54" s="280">
        <f>(C54/SUM('Population Figures'!W14:Y14))*1000</f>
        <v>8.707692307692307</v>
      </c>
      <c r="R54" s="425">
        <f>(D54/'Population Figures'!W14)*1000</f>
        <v>2.1547685965898444</v>
      </c>
      <c r="S54" s="425">
        <f>(E54/'Population Figures'!W14)*1000</f>
        <v>513.0222971706952</v>
      </c>
      <c r="T54" s="280">
        <f>(F54/'Population Figures'!Y14)*1000</f>
        <v>1661.8754277891853</v>
      </c>
      <c r="U54" s="425">
        <f>(G54/'Population Figures'!X14)*1000</f>
        <v>70.982599795291719</v>
      </c>
      <c r="V54" s="425">
        <f>(H54/'Population Figures'!X14)*1000</f>
        <v>175.00852951211189</v>
      </c>
      <c r="W54" s="425">
        <f>(I54/'Population Figures'!X14)*1000</f>
        <v>27.857386557488912</v>
      </c>
      <c r="X54" s="500">
        <f>(J54/'Population Figures'!X14)*1000</f>
        <v>19.720232002729443</v>
      </c>
      <c r="Y54" s="186">
        <f>(K54/'Population Figures'!X14)*1000</f>
        <v>0</v>
      </c>
      <c r="Z54" s="186">
        <f>(L54/'Population Figures'!X14)*1000</f>
        <v>0</v>
      </c>
      <c r="AA54" s="501">
        <f>(M54/'Population Figures'!X14)*1000</f>
        <v>16.427840327533264</v>
      </c>
    </row>
    <row r="55" spans="1:27">
      <c r="A55" s="7" t="s">
        <v>41</v>
      </c>
      <c r="B55" s="425">
        <v>47644</v>
      </c>
      <c r="C55" s="280">
        <v>1516</v>
      </c>
      <c r="D55" s="425">
        <v>0</v>
      </c>
      <c r="E55" s="425">
        <v>6196</v>
      </c>
      <c r="F55" s="280">
        <v>22510</v>
      </c>
      <c r="G55" s="425">
        <v>3070</v>
      </c>
      <c r="H55" s="425">
        <v>10285</v>
      </c>
      <c r="I55" s="425">
        <v>2003</v>
      </c>
      <c r="J55" s="425">
        <v>579</v>
      </c>
      <c r="K55" s="280">
        <v>0</v>
      </c>
      <c r="L55" s="280">
        <v>0</v>
      </c>
      <c r="M55" s="280">
        <v>1485</v>
      </c>
      <c r="N55" s="233"/>
      <c r="O55" s="7" t="s">
        <v>41</v>
      </c>
      <c r="P55" s="425">
        <f>(B55*1000)/SUM('Population Figures'!$W15:$Y15)</f>
        <v>532.09738664284123</v>
      </c>
      <c r="Q55" s="280">
        <f>(C55/SUM('Population Figures'!W15:Y15))*1000</f>
        <v>16.930980567344204</v>
      </c>
      <c r="R55" s="425">
        <f>(D55/'Population Figures'!W15)*1000</f>
        <v>0</v>
      </c>
      <c r="S55" s="425">
        <f>(E55/'Population Figures'!W15)*1000</f>
        <v>306.26266620532846</v>
      </c>
      <c r="T55" s="280">
        <f>(F55/'Population Figures'!Y15)*1000</f>
        <v>1398.223492142369</v>
      </c>
      <c r="U55" s="425">
        <f>(G55/'Population Figures'!X15)*1000</f>
        <v>57.695921819206916</v>
      </c>
      <c r="V55" s="425">
        <f>(H55/'Population Figures'!X15)*1000</f>
        <v>193.29073482428117</v>
      </c>
      <c r="W55" s="425">
        <f>(I55/'Population Figures'!X15)*1000</f>
        <v>37.64330013155422</v>
      </c>
      <c r="X55" s="500">
        <f>(J55/'Population Figures'!X15)*1000</f>
        <v>10.881413268182671</v>
      </c>
      <c r="Y55" s="186">
        <f>(K55/'Population Figures'!X15)*1000</f>
        <v>0</v>
      </c>
      <c r="Z55" s="186">
        <f>(L55/'Population Figures'!X15)*1000</f>
        <v>0</v>
      </c>
      <c r="AA55" s="501">
        <f>(M55/'Population Figures'!X15)*1000</f>
        <v>27.9082879158053</v>
      </c>
    </row>
    <row r="56" spans="1:27">
      <c r="A56" s="7" t="s">
        <v>140</v>
      </c>
      <c r="B56" s="425">
        <v>315422</v>
      </c>
      <c r="C56" s="280">
        <v>1192</v>
      </c>
      <c r="D56" s="425">
        <v>201</v>
      </c>
      <c r="E56" s="425">
        <v>86080</v>
      </c>
      <c r="F56" s="280">
        <v>122258</v>
      </c>
      <c r="G56" s="425">
        <v>19775</v>
      </c>
      <c r="H56" s="425">
        <v>51089</v>
      </c>
      <c r="I56" s="425">
        <v>14006</v>
      </c>
      <c r="J56" s="425">
        <v>3866</v>
      </c>
      <c r="K56" s="280">
        <v>1590</v>
      </c>
      <c r="L56" s="280">
        <v>327</v>
      </c>
      <c r="M56" s="280">
        <v>15038</v>
      </c>
      <c r="N56" s="233"/>
      <c r="O56" s="7" t="s">
        <v>140</v>
      </c>
      <c r="P56" s="425">
        <f>(B56*1000)/SUM('Population Figures'!$W16:$Y16)</f>
        <v>648.85624948572365</v>
      </c>
      <c r="Q56" s="280">
        <f>(C56/SUM('Population Figures'!W16:Y16))*1000</f>
        <v>2.4520694478729528</v>
      </c>
      <c r="R56" s="425">
        <f>(D56/'Population Figures'!W16)*1000</f>
        <v>2.4463566325474972</v>
      </c>
      <c r="S56" s="425">
        <f>(E56/'Population Figures'!W16)*1000</f>
        <v>1047.6735270133759</v>
      </c>
      <c r="T56" s="280">
        <f>(F56/'Population Figures'!Y16)*1000</f>
        <v>1761.82035652011</v>
      </c>
      <c r="U56" s="425">
        <f>(G56/'Population Figures'!X16)*1000</f>
        <v>59.106777776449348</v>
      </c>
      <c r="V56" s="425">
        <f>(H56/'Population Figures'!X16)*1000</f>
        <v>152.70321971282027</v>
      </c>
      <c r="W56" s="425">
        <f>(I56/'Population Figures'!X16)*1000</f>
        <v>41.863440178859648</v>
      </c>
      <c r="X56" s="500">
        <f>(J56/'Population Figures'!X16)*1000</f>
        <v>11.555337693236572</v>
      </c>
      <c r="Y56" s="186">
        <f>(K56/'Population Figures'!X16)*1000</f>
        <v>4.7524539400533223</v>
      </c>
      <c r="Z56" s="186">
        <f>(L56/'Population Figures'!X16)*1000</f>
        <v>0.97739147069021182</v>
      </c>
      <c r="AA56" s="501">
        <f>(M56/'Population Figures'!X16)*1000</f>
        <v>44.948051792781051</v>
      </c>
    </row>
    <row r="57" spans="1:27">
      <c r="A57" s="7" t="s">
        <v>42</v>
      </c>
      <c r="B57" s="425">
        <v>28361</v>
      </c>
      <c r="C57" s="280">
        <v>560</v>
      </c>
      <c r="D57" s="425">
        <v>28</v>
      </c>
      <c r="E57" s="425">
        <v>4878</v>
      </c>
      <c r="F57" s="280">
        <v>16262</v>
      </c>
      <c r="G57" s="425">
        <v>1369</v>
      </c>
      <c r="H57" s="425">
        <v>3705</v>
      </c>
      <c r="I57" s="425">
        <v>1059</v>
      </c>
      <c r="J57" s="425">
        <v>156</v>
      </c>
      <c r="K57" s="280">
        <v>0</v>
      </c>
      <c r="L57" s="280">
        <v>0</v>
      </c>
      <c r="M57" s="280">
        <v>344</v>
      </c>
      <c r="N57" s="233"/>
      <c r="O57" s="7" t="s">
        <v>42</v>
      </c>
      <c r="P57" s="425">
        <f>(B57*1000)/SUM('Population Figures'!$W17:$Y17)</f>
        <v>1082.8942344406262</v>
      </c>
      <c r="Q57" s="280">
        <f>(C57/SUM('Population Figures'!W17:Y17))*1000</f>
        <v>21.382206949217256</v>
      </c>
      <c r="R57" s="425">
        <f>(D57/'Population Figures'!W17)*1000</f>
        <v>5.513981882630957</v>
      </c>
      <c r="S57" s="425">
        <f>(E57/'Population Figures'!W17)*1000</f>
        <v>960.61441512406464</v>
      </c>
      <c r="T57" s="280">
        <f>(F57/'Population Figures'!Y17)*1000</f>
        <v>2869.5959061231692</v>
      </c>
      <c r="U57" s="425">
        <f>(G57/'Population Figures'!X17)*1000</f>
        <v>88.637099384914208</v>
      </c>
      <c r="V57" s="425">
        <f>(H57/'Population Figures'!X17)*1000</f>
        <v>239.88345742958887</v>
      </c>
      <c r="W57" s="425">
        <f>(I57/'Population Figures'!X17)*1000</f>
        <v>68.565878925218527</v>
      </c>
      <c r="X57" s="500">
        <f>(J57/'Population Figures'!X17)*1000</f>
        <v>10.100356102298479</v>
      </c>
      <c r="Y57" s="186">
        <f>(K57/'Population Figures'!X17)*1000</f>
        <v>0</v>
      </c>
      <c r="Z57" s="186">
        <f>(L57/'Population Figures'!X17)*1000</f>
        <v>0</v>
      </c>
      <c r="AA57" s="501">
        <f>(M57/'Population Figures'!X17)*1000</f>
        <v>22.272580123017161</v>
      </c>
    </row>
    <row r="58" spans="1:27">
      <c r="A58" s="7" t="s">
        <v>43</v>
      </c>
      <c r="B58" s="425">
        <v>98546</v>
      </c>
      <c r="C58" s="280">
        <v>517</v>
      </c>
      <c r="D58" s="425">
        <v>75</v>
      </c>
      <c r="E58" s="425">
        <v>22158</v>
      </c>
      <c r="F58" s="280">
        <v>45368</v>
      </c>
      <c r="G58" s="425">
        <v>6960</v>
      </c>
      <c r="H58" s="425">
        <v>15164</v>
      </c>
      <c r="I58" s="425">
        <v>4740</v>
      </c>
      <c r="J58" s="425">
        <v>319</v>
      </c>
      <c r="K58" s="280">
        <v>0</v>
      </c>
      <c r="L58" s="280">
        <v>0</v>
      </c>
      <c r="M58" s="280">
        <v>3245</v>
      </c>
      <c r="N58" s="233"/>
      <c r="O58" s="7" t="s">
        <v>43</v>
      </c>
      <c r="P58" s="425">
        <f>(B58*1000)/SUM('Population Figures'!$W18:$Y18)</f>
        <v>642.91492693110649</v>
      </c>
      <c r="Q58" s="280">
        <f>(C58/SUM('Population Figures'!W18:Y18))*1000</f>
        <v>3.3729123173277662</v>
      </c>
      <c r="R58" s="425">
        <f>(D58/'Population Figures'!W18)*1000</f>
        <v>2.3299885053900402</v>
      </c>
      <c r="S58" s="425">
        <f>(E58/'Population Figures'!W18)*1000</f>
        <v>688.37180403243349</v>
      </c>
      <c r="T58" s="280">
        <f>(F58/'Population Figures'!Y18)*1000</f>
        <v>1803.3946814008032</v>
      </c>
      <c r="U58" s="425">
        <f>(G58/'Population Figures'!X18)*1000</f>
        <v>72.549878041153292</v>
      </c>
      <c r="V58" s="425">
        <f>(H58/'Population Figures'!X18)*1000</f>
        <v>158.06700439885753</v>
      </c>
      <c r="W58" s="425">
        <f>(I58/'Population Figures'!X18)*1000</f>
        <v>49.40896866595785</v>
      </c>
      <c r="X58" s="500">
        <f>(J58/'Population Figures'!X18)*1000</f>
        <v>3.3252027435528593</v>
      </c>
      <c r="Y58" s="186">
        <f>(K58/'Population Figures'!X18)*1000</f>
        <v>0</v>
      </c>
      <c r="Z58" s="186">
        <f>(L58/'Population Figures'!X18)*1000</f>
        <v>0</v>
      </c>
      <c r="AA58" s="501">
        <f>(M58/'Population Figures'!X18)*1000</f>
        <v>33.825338253382533</v>
      </c>
    </row>
    <row r="59" spans="1:27">
      <c r="A59" s="7" t="s">
        <v>44</v>
      </c>
      <c r="B59" s="425">
        <v>243476</v>
      </c>
      <c r="C59" s="280">
        <v>1308</v>
      </c>
      <c r="D59" s="425">
        <v>0</v>
      </c>
      <c r="E59" s="425">
        <v>45235</v>
      </c>
      <c r="F59" s="280">
        <v>101521</v>
      </c>
      <c r="G59" s="425">
        <v>21295</v>
      </c>
      <c r="H59" s="425">
        <v>55903</v>
      </c>
      <c r="I59" s="425">
        <v>10475</v>
      </c>
      <c r="J59" s="425">
        <v>745</v>
      </c>
      <c r="K59" s="280">
        <v>217</v>
      </c>
      <c r="L59" s="280">
        <v>0</v>
      </c>
      <c r="M59" s="280">
        <v>6777</v>
      </c>
      <c r="N59" s="233"/>
      <c r="O59" s="7" t="s">
        <v>44</v>
      </c>
      <c r="P59" s="425">
        <f>(B59*1000)/SUM('Population Figures'!$W19:$Y19)</f>
        <v>667.02098515149851</v>
      </c>
      <c r="Q59" s="280">
        <f>(C59/SUM('Population Figures'!W19:Y19))*1000</f>
        <v>3.5833652950523258</v>
      </c>
      <c r="R59" s="425">
        <f>(D59/'Population Figures'!W19)*1000</f>
        <v>0</v>
      </c>
      <c r="S59" s="425">
        <f>(E59/'Population Figures'!W19)*1000</f>
        <v>613.35593220338978</v>
      </c>
      <c r="T59" s="280">
        <f>(F59/'Population Figures'!Y19)*1000</f>
        <v>1580.9546056217393</v>
      </c>
      <c r="U59" s="425">
        <f>(G59/'Population Figures'!X19)*1000</f>
        <v>93.787848759111228</v>
      </c>
      <c r="V59" s="425">
        <f>(H59/'Population Figures'!X19)*1000</f>
        <v>246.20906828741934</v>
      </c>
      <c r="W59" s="425">
        <f>(I59/'Population Figures'!X19)*1000</f>
        <v>46.134196560304773</v>
      </c>
      <c r="X59" s="500">
        <f>(J59/'Population Figures'!X19)*1000</f>
        <v>3.2811433353152322</v>
      </c>
      <c r="Y59" s="186">
        <f>(K59/'Population Figures'!X19)*1000</f>
        <v>0.95571557552134945</v>
      </c>
      <c r="Z59" s="186">
        <f>(L59/'Population Figures'!X19)*1000</f>
        <v>0</v>
      </c>
      <c r="AA59" s="501">
        <f>(M59/'Population Figures'!X19)*1000</f>
        <v>29.847393803263525</v>
      </c>
    </row>
    <row r="60" spans="1:27">
      <c r="A60" s="7" t="s">
        <v>45</v>
      </c>
      <c r="B60" s="425">
        <v>526726</v>
      </c>
      <c r="C60" s="280">
        <v>1479</v>
      </c>
      <c r="D60" s="425">
        <v>416</v>
      </c>
      <c r="E60" s="425">
        <v>145842</v>
      </c>
      <c r="F60" s="280">
        <v>215158</v>
      </c>
      <c r="G60" s="425">
        <v>29991</v>
      </c>
      <c r="H60" s="425">
        <v>67596</v>
      </c>
      <c r="I60" s="425">
        <v>22194</v>
      </c>
      <c r="J60" s="425">
        <v>23971</v>
      </c>
      <c r="K60" s="280">
        <v>15</v>
      </c>
      <c r="L60" s="280">
        <v>1135</v>
      </c>
      <c r="M60" s="280">
        <v>18929</v>
      </c>
      <c r="N60" s="233"/>
      <c r="O60" s="7" t="s">
        <v>45</v>
      </c>
      <c r="P60" s="425">
        <f>(B60*1000)/SUM('Population Figures'!$W20:$Y20)</f>
        <v>888.50915960999964</v>
      </c>
      <c r="Q60" s="280">
        <f>(C60/SUM('Population Figures'!W20:Y20))*1000</f>
        <v>2.4948550993556222</v>
      </c>
      <c r="R60" s="425">
        <f>(D60/'Population Figures'!W20)*1000</f>
        <v>3.7775598416330682</v>
      </c>
      <c r="S60" s="425">
        <f>(E60/'Population Figures'!W20)*1000</f>
        <v>1324.3434673640625</v>
      </c>
      <c r="T60" s="280">
        <f>(F60/'Population Figures'!Y20)*1000</f>
        <v>2660.7719228819115</v>
      </c>
      <c r="U60" s="425">
        <f>(G60/'Population Figures'!X20)*1000</f>
        <v>74.635482899612526</v>
      </c>
      <c r="V60" s="425">
        <f>(H60/'Population Figures'!X20)*1000</f>
        <v>168.21913581014999</v>
      </c>
      <c r="W60" s="425">
        <f>(I60/'Population Figures'!X20)*1000</f>
        <v>55.231899819079068</v>
      </c>
      <c r="X60" s="500">
        <f>(J60/'Population Figures'!X20)*1000</f>
        <v>59.654134926698404</v>
      </c>
      <c r="Y60" s="186">
        <f>(K60/'Population Figures'!X20)*1000</f>
        <v>3.7328940131845817E-2</v>
      </c>
      <c r="Z60" s="186">
        <f>(L60/'Population Figures'!X20)*1000</f>
        <v>2.8245564699763337</v>
      </c>
      <c r="AA60" s="501">
        <f>(M60/'Population Figures'!X20)*1000</f>
        <v>47.106633850380632</v>
      </c>
    </row>
    <row r="61" spans="1:27">
      <c r="A61" s="7" t="s">
        <v>46</v>
      </c>
      <c r="B61" s="425">
        <v>144942</v>
      </c>
      <c r="C61" s="280">
        <v>417</v>
      </c>
      <c r="D61" s="425">
        <v>121</v>
      </c>
      <c r="E61" s="425">
        <v>25457</v>
      </c>
      <c r="F61" s="280">
        <v>69000</v>
      </c>
      <c r="G61" s="425">
        <v>10373</v>
      </c>
      <c r="H61" s="425">
        <v>29505</v>
      </c>
      <c r="I61" s="425">
        <v>6031</v>
      </c>
      <c r="J61" s="425">
        <v>809</v>
      </c>
      <c r="K61" s="280">
        <v>0</v>
      </c>
      <c r="L61" s="280">
        <v>0</v>
      </c>
      <c r="M61" s="280">
        <v>3229</v>
      </c>
      <c r="N61" s="233"/>
      <c r="O61" s="7" t="s">
        <v>46</v>
      </c>
      <c r="P61" s="425">
        <f>(B61*1000)/SUM('Population Figures'!$W21:$Y21)</f>
        <v>653.98186166132746</v>
      </c>
      <c r="Q61" s="280">
        <f>(C61/SUM('Population Figures'!W21:Y21))*1000</f>
        <v>1.8815142354374408</v>
      </c>
      <c r="R61" s="425">
        <f>(D61/'Population Figures'!W21)*1000</f>
        <v>2.7274981403421772</v>
      </c>
      <c r="S61" s="425">
        <f>(E61/'Population Figures'!W21)*1000</f>
        <v>573.83405089827113</v>
      </c>
      <c r="T61" s="280">
        <f>(F61/'Population Figures'!Y21)*1000</f>
        <v>1655.5496904841882</v>
      </c>
      <c r="U61" s="425">
        <f>(G61/'Population Figures'!X21)*1000</f>
        <v>76.503256163848093</v>
      </c>
      <c r="V61" s="425">
        <f>(H61/'Population Figures'!X21)*1000</f>
        <v>217.60614799135621</v>
      </c>
      <c r="W61" s="425">
        <f>(I61/'Population Figures'!X21)*1000</f>
        <v>44.480009440293827</v>
      </c>
      <c r="X61" s="500">
        <f>(J61/'Population Figures'!X21)*1000</f>
        <v>5.9665607092020743</v>
      </c>
      <c r="Y61" s="186">
        <f>(K61/'Population Figures'!X21)*1000</f>
        <v>0</v>
      </c>
      <c r="Z61" s="186">
        <f>(L61/'Population Figures'!X21)*1000</f>
        <v>0</v>
      </c>
      <c r="AA61" s="501">
        <f>(M61/'Population Figures'!X21)*1000</f>
        <v>23.814616229930156</v>
      </c>
    </row>
    <row r="62" spans="1:27">
      <c r="A62" s="7" t="s">
        <v>47</v>
      </c>
      <c r="B62" s="425">
        <v>62503</v>
      </c>
      <c r="C62" s="280">
        <v>2034</v>
      </c>
      <c r="D62" s="425">
        <v>14</v>
      </c>
      <c r="E62" s="425">
        <v>12554</v>
      </c>
      <c r="F62" s="280">
        <v>28352</v>
      </c>
      <c r="G62" s="425">
        <v>3269</v>
      </c>
      <c r="H62" s="425">
        <v>8206</v>
      </c>
      <c r="I62" s="425">
        <v>3373</v>
      </c>
      <c r="J62" s="425">
        <v>2628</v>
      </c>
      <c r="K62" s="280">
        <v>0</v>
      </c>
      <c r="L62" s="280">
        <v>0</v>
      </c>
      <c r="M62" s="280">
        <v>2073</v>
      </c>
      <c r="N62" s="233"/>
      <c r="O62" s="7" t="s">
        <v>47</v>
      </c>
      <c r="P62" s="425">
        <f>(B62*1000)/SUM('Population Figures'!$W22:$Y22)</f>
        <v>783.54017801178384</v>
      </c>
      <c r="Q62" s="280">
        <f>(C62/SUM('Population Figures'!W22:Y22))*1000</f>
        <v>25.498307634449041</v>
      </c>
      <c r="R62" s="425">
        <f>(D62/'Population Figures'!W22)*1000</f>
        <v>0.8895666539585716</v>
      </c>
      <c r="S62" s="425">
        <f>(E62/'Population Figures'!W22)*1000</f>
        <v>797.68712669970773</v>
      </c>
      <c r="T62" s="280">
        <f>(F62/'Population Figures'!Y22)*1000</f>
        <v>1962.755278643129</v>
      </c>
      <c r="U62" s="425">
        <f>(G62/'Population Figures'!X22)*1000</f>
        <v>65.924536672918308</v>
      </c>
      <c r="V62" s="425">
        <f>(H62/'Population Figures'!X22)*1000</f>
        <v>165.48692197551779</v>
      </c>
      <c r="W62" s="425">
        <f>(I62/'Population Figures'!X22)*1000</f>
        <v>68.021860568294116</v>
      </c>
      <c r="X62" s="500">
        <f>(J62/'Population Figures'!X22)*1000</f>
        <v>52.997761510073204</v>
      </c>
      <c r="Y62" s="186">
        <f>(K62/'Population Figures'!X22)*1000</f>
        <v>0</v>
      </c>
      <c r="Z62" s="186">
        <f>(L62/'Population Figures'!X22)*1000</f>
        <v>0</v>
      </c>
      <c r="AA62" s="501">
        <f>(M62/'Population Figures'!X22)*1000</f>
        <v>41.805311876096553</v>
      </c>
    </row>
    <row r="63" spans="1:27">
      <c r="A63" s="7" t="s">
        <v>48</v>
      </c>
      <c r="B63" s="425">
        <v>54508</v>
      </c>
      <c r="C63" s="280">
        <v>1269</v>
      </c>
      <c r="D63" s="425">
        <v>102</v>
      </c>
      <c r="E63" s="425">
        <v>14682</v>
      </c>
      <c r="F63" s="280">
        <v>20935</v>
      </c>
      <c r="G63" s="425">
        <v>3589</v>
      </c>
      <c r="H63" s="425">
        <v>10337</v>
      </c>
      <c r="I63" s="425">
        <v>1906</v>
      </c>
      <c r="J63" s="425">
        <v>720</v>
      </c>
      <c r="K63" s="280">
        <v>3</v>
      </c>
      <c r="L63" s="280">
        <v>0</v>
      </c>
      <c r="M63" s="280">
        <v>965</v>
      </c>
      <c r="N63" s="233"/>
      <c r="O63" s="7" t="s">
        <v>48</v>
      </c>
      <c r="P63" s="425">
        <f>(B63*1000)/SUM('Population Figures'!$W23:$Y23)</f>
        <v>671.77717525264973</v>
      </c>
      <c r="Q63" s="280">
        <f>(C63/SUM('Population Figures'!W23:Y23))*1000</f>
        <v>15.639635198422479</v>
      </c>
      <c r="R63" s="425">
        <f>(D63/'Population Figures'!W23)*1000</f>
        <v>5.8339052848318458</v>
      </c>
      <c r="S63" s="425">
        <f>(E63/'Population Figures'!W23)*1000</f>
        <v>839.73919011667806</v>
      </c>
      <c r="T63" s="280">
        <f>(F63/'Population Figures'!Y23)*1000</f>
        <v>1535.1616924543521</v>
      </c>
      <c r="U63" s="425">
        <f>(G63/'Population Figures'!X23)*1000</f>
        <v>71.752733961094791</v>
      </c>
      <c r="V63" s="425">
        <f>(H63/'Population Figures'!X23)*1000</f>
        <v>206.66146864191606</v>
      </c>
      <c r="W63" s="425">
        <f>(I63/'Population Figures'!X23)*1000</f>
        <v>38.105519902437074</v>
      </c>
      <c r="X63" s="500">
        <f>(J63/'Population Figures'!X23)*1000</f>
        <v>14.394530078570142</v>
      </c>
      <c r="Y63" s="186">
        <f>(K63/'Population Figures'!X23)*1000</f>
        <v>5.9977208660708929E-2</v>
      </c>
      <c r="Z63" s="186">
        <f>(L63/'Population Figures'!X23)*1000</f>
        <v>0</v>
      </c>
      <c r="AA63" s="501">
        <f>(M63/'Population Figures'!X23)*1000</f>
        <v>19.29266878586137</v>
      </c>
    </row>
    <row r="64" spans="1:27">
      <c r="A64" s="7" t="s">
        <v>49</v>
      </c>
      <c r="B64" s="425">
        <v>52608</v>
      </c>
      <c r="C64" s="280">
        <v>512</v>
      </c>
      <c r="D64" s="425">
        <v>49</v>
      </c>
      <c r="E64" s="425">
        <v>13118</v>
      </c>
      <c r="F64" s="280">
        <v>23200</v>
      </c>
      <c r="G64" s="425">
        <v>3079</v>
      </c>
      <c r="H64" s="425">
        <v>9322</v>
      </c>
      <c r="I64" s="425">
        <v>1638</v>
      </c>
      <c r="J64" s="425">
        <v>932</v>
      </c>
      <c r="K64" s="280">
        <v>0</v>
      </c>
      <c r="L64" s="280">
        <v>0</v>
      </c>
      <c r="M64" s="280">
        <v>758</v>
      </c>
      <c r="N64" s="233"/>
      <c r="O64" s="7" t="s">
        <v>49</v>
      </c>
      <c r="P64" s="425">
        <f>(B64*1000)/SUM('Population Figures'!$W24:$Y24)</f>
        <v>599.72640218878246</v>
      </c>
      <c r="Q64" s="280">
        <f>(C64/SUM('Population Figures'!W24:Y24))*1000</f>
        <v>5.8367533059735521</v>
      </c>
      <c r="R64" s="425">
        <f>(D64/'Population Figures'!W24)*1000</f>
        <v>2.7585430389010863</v>
      </c>
      <c r="S64" s="425">
        <f>(E64/'Population Figures'!W24)*1000</f>
        <v>738.50137927151945</v>
      </c>
      <c r="T64" s="280">
        <f>(F64/'Population Figures'!Y24)*1000</f>
        <v>1398.0114492316964</v>
      </c>
      <c r="U64" s="425">
        <f>(G64/'Population Figures'!X24)*1000</f>
        <v>57.70023612308384</v>
      </c>
      <c r="V64" s="425">
        <f>(H64/'Population Figures'!X24)*1000</f>
        <v>174.69360218882352</v>
      </c>
      <c r="W64" s="425">
        <f>(I64/'Population Figures'!X24)*1000</f>
        <v>30.696000899516513</v>
      </c>
      <c r="X64" s="500">
        <f>(J64/'Population Figures'!X24)*1000</f>
        <v>17.465612233424537</v>
      </c>
      <c r="Y64" s="186">
        <f>(K64/'Population Figures'!X24)*1000</f>
        <v>0</v>
      </c>
      <c r="Z64" s="186">
        <f>(L64/'Population Figures'!X24)*1000</f>
        <v>0</v>
      </c>
      <c r="AA64" s="501">
        <f>(M64/'Population Figures'!X24)*1000</f>
        <v>14.204864885124246</v>
      </c>
    </row>
    <row r="65" spans="1:27">
      <c r="A65" s="7" t="s">
        <v>50</v>
      </c>
      <c r="B65" s="425">
        <v>102839</v>
      </c>
      <c r="C65" s="280">
        <v>863</v>
      </c>
      <c r="D65" s="425">
        <v>161</v>
      </c>
      <c r="E65" s="425">
        <v>22250</v>
      </c>
      <c r="F65" s="280">
        <v>50232</v>
      </c>
      <c r="G65" s="425">
        <v>5110</v>
      </c>
      <c r="H65" s="425">
        <v>15155</v>
      </c>
      <c r="I65" s="425">
        <v>3556</v>
      </c>
      <c r="J65" s="425">
        <v>1777</v>
      </c>
      <c r="K65" s="280">
        <v>0</v>
      </c>
      <c r="L65" s="280">
        <v>0</v>
      </c>
      <c r="M65" s="280">
        <v>3735</v>
      </c>
      <c r="N65" s="233"/>
      <c r="O65" s="7" t="s">
        <v>50</v>
      </c>
      <c r="P65" s="425">
        <f>(B65*1000)/SUM('Population Figures'!$W25:$Y25)</f>
        <v>760.75602899837259</v>
      </c>
      <c r="Q65" s="280">
        <f>(C65/SUM('Population Figures'!W25:Y25))*1000</f>
        <v>6.3840804852788873</v>
      </c>
      <c r="R65" s="425">
        <f>(D65/'Population Figures'!W25)*1000</f>
        <v>5.8124842052059638</v>
      </c>
      <c r="S65" s="425">
        <f>(E65/'Population Figures'!W25)*1000</f>
        <v>803.27809668219072</v>
      </c>
      <c r="T65" s="280">
        <f>(F65/'Population Figures'!Y25)*1000</f>
        <v>1984.3564825788103</v>
      </c>
      <c r="U65" s="425">
        <f>(G65/'Population Figures'!X25)*1000</f>
        <v>62.190417077415511</v>
      </c>
      <c r="V65" s="425">
        <f>(H65/'Population Figures'!X25)*1000</f>
        <v>184.44144242822543</v>
      </c>
      <c r="W65" s="425">
        <f>(I65/'Population Figures'!X25)*1000</f>
        <v>43.277714897708329</v>
      </c>
      <c r="X65" s="500">
        <f>(J65/'Population Figures'!X25)*1000</f>
        <v>21.626687112831185</v>
      </c>
      <c r="Y65" s="186">
        <f>(K65/'Population Figures'!X25)*1000</f>
        <v>0</v>
      </c>
      <c r="Z65" s="186">
        <f>(L65/'Population Figures'!X25)*1000</f>
        <v>0</v>
      </c>
      <c r="AA65" s="501">
        <f>(M65/'Population Figures'!X25)*1000</f>
        <v>45.456205045821321</v>
      </c>
    </row>
    <row r="66" spans="1:27">
      <c r="A66" s="7" t="s">
        <v>51</v>
      </c>
      <c r="B66" s="425">
        <v>194961</v>
      </c>
      <c r="C66" s="280">
        <v>916</v>
      </c>
      <c r="D66" s="425">
        <v>66</v>
      </c>
      <c r="E66" s="425">
        <v>24674</v>
      </c>
      <c r="F66" s="280">
        <v>97800</v>
      </c>
      <c r="G66" s="425">
        <v>3792</v>
      </c>
      <c r="H66" s="425">
        <v>49579</v>
      </c>
      <c r="I66" s="425">
        <v>9574</v>
      </c>
      <c r="J66" s="425">
        <v>1816</v>
      </c>
      <c r="K66" s="280">
        <v>0</v>
      </c>
      <c r="L66" s="280">
        <v>37</v>
      </c>
      <c r="M66" s="280">
        <v>6707</v>
      </c>
      <c r="N66" s="233"/>
      <c r="O66" s="7" t="s">
        <v>51</v>
      </c>
      <c r="P66" s="425">
        <f>(B66*1000)/SUM('Population Figures'!$W26:$Y26)</f>
        <v>597.38019365118271</v>
      </c>
      <c r="Q66" s="280">
        <f>(C66/SUM('Population Figures'!W26:Y26))*1000</f>
        <v>2.806716509376149</v>
      </c>
      <c r="R66" s="425">
        <f>(D66/'Population Figures'!W26)*1000</f>
        <v>0.92595190661915316</v>
      </c>
      <c r="S66" s="425">
        <f>(E66/'Population Figures'!W26)*1000</f>
        <v>346.16571733213613</v>
      </c>
      <c r="T66" s="280">
        <f>(F66/'Population Figures'!Y26)*1000</f>
        <v>1971.6549402253895</v>
      </c>
      <c r="U66" s="425">
        <f>(G66/'Population Figures'!X26)*1000</f>
        <v>18.45444059976932</v>
      </c>
      <c r="V66" s="425">
        <f>(H66/'Population Figures'!X26)*1000</f>
        <v>241.28499749366114</v>
      </c>
      <c r="W66" s="425">
        <f>(I66/'Population Figures'!X26)*1000</f>
        <v>46.593569172518848</v>
      </c>
      <c r="X66" s="500">
        <f>(J66/'Population Figures'!X26)*1000</f>
        <v>8.8378861100161092</v>
      </c>
      <c r="Y66" s="186">
        <f>(K66/'Population Figures'!X26)*1000</f>
        <v>0</v>
      </c>
      <c r="Z66" s="186">
        <f>(L66/'Population Figures'!X26)*1000</f>
        <v>0.18006706281420484</v>
      </c>
      <c r="AA66" s="501">
        <f>(M66/'Population Figures'!X26)*1000</f>
        <v>32.64080514310465</v>
      </c>
    </row>
    <row r="67" spans="1:27">
      <c r="A67" s="7" t="s">
        <v>52</v>
      </c>
      <c r="B67" s="425">
        <v>20905</v>
      </c>
      <c r="C67" s="280">
        <v>709</v>
      </c>
      <c r="D67" s="425">
        <v>33</v>
      </c>
      <c r="E67" s="425">
        <v>3100</v>
      </c>
      <c r="F67" s="280">
        <v>12352</v>
      </c>
      <c r="G67" s="425">
        <v>1473</v>
      </c>
      <c r="H67" s="425">
        <v>2629</v>
      </c>
      <c r="I67" s="425">
        <v>560</v>
      </c>
      <c r="J67" s="425">
        <v>49</v>
      </c>
      <c r="K67" s="280">
        <v>0</v>
      </c>
      <c r="L67" s="280">
        <v>0</v>
      </c>
      <c r="M67" s="280">
        <v>0</v>
      </c>
      <c r="N67" s="233"/>
      <c r="O67" s="7" t="s">
        <v>52</v>
      </c>
      <c r="P67" s="425">
        <f>(B67*1000)/SUM('Population Figures'!$W27:$Y27)</f>
        <v>1039.5325708602686</v>
      </c>
      <c r="Q67" s="280">
        <f>(C67/SUM('Population Figures'!W27:Y27))*1000</f>
        <v>35.256091496767773</v>
      </c>
      <c r="R67" s="425">
        <f>(D67/'Population Figures'!W27)*1000</f>
        <v>8.3417593528816987</v>
      </c>
      <c r="S67" s="425">
        <f>(E67/'Population Figures'!W27)*1000</f>
        <v>783.61981799797775</v>
      </c>
      <c r="T67" s="280">
        <f>(F67/'Population Figures'!Y27)*1000</f>
        <v>3100.4016064257025</v>
      </c>
      <c r="U67" s="425">
        <f>(G67/'Population Figures'!X27)*1000</f>
        <v>121.03533278553822</v>
      </c>
      <c r="V67" s="425">
        <f>(H67/'Population Figures'!X27)*1000</f>
        <v>216.0230073952342</v>
      </c>
      <c r="W67" s="425">
        <f>(I67/'Population Figures'!X27)*1000</f>
        <v>46.014790468364836</v>
      </c>
      <c r="X67" s="500">
        <f>(J67/'Population Figures'!X27)*1000</f>
        <v>4.0262941659819225</v>
      </c>
      <c r="Y67" s="186">
        <f>(K67/'Population Figures'!X27)*1000</f>
        <v>0</v>
      </c>
      <c r="Z67" s="186">
        <f>(L67/'Population Figures'!X27)*1000</f>
        <v>0</v>
      </c>
      <c r="AA67" s="501">
        <f>(M67/'Population Figures'!X27)*1000</f>
        <v>0</v>
      </c>
    </row>
    <row r="68" spans="1:27">
      <c r="A68" s="7" t="s">
        <v>53</v>
      </c>
      <c r="B68" s="425">
        <v>88487</v>
      </c>
      <c r="C68" s="280">
        <v>552</v>
      </c>
      <c r="D68" s="425">
        <v>0</v>
      </c>
      <c r="E68" s="425">
        <v>15483</v>
      </c>
      <c r="F68" s="280">
        <v>45755</v>
      </c>
      <c r="G68" s="425">
        <v>3219</v>
      </c>
      <c r="H68" s="425">
        <v>15157</v>
      </c>
      <c r="I68" s="425">
        <v>4235</v>
      </c>
      <c r="J68" s="425">
        <v>1222</v>
      </c>
      <c r="K68" s="280">
        <v>0</v>
      </c>
      <c r="L68" s="280">
        <v>0</v>
      </c>
      <c r="M68" s="280">
        <v>2864</v>
      </c>
      <c r="N68" s="233"/>
      <c r="O68" s="7" t="s">
        <v>53</v>
      </c>
      <c r="P68" s="425">
        <f>(B68*1000)/SUM('Population Figures'!$W28:$Y28)</f>
        <v>598.77520638787382</v>
      </c>
      <c r="Q68" s="280">
        <f>(C68/SUM('Population Figures'!W28:Y28))*1000</f>
        <v>3.7352821762078769</v>
      </c>
      <c r="R68" s="425">
        <f>(D68/'Population Figures'!W28)*1000</f>
        <v>0</v>
      </c>
      <c r="S68" s="425">
        <f>(E68/'Population Figures'!W28)*1000</f>
        <v>542.00798151648814</v>
      </c>
      <c r="T68" s="280">
        <f>(F68/'Population Figures'!Y28)*1000</f>
        <v>1571.9586353798056</v>
      </c>
      <c r="U68" s="425">
        <f>(G68/'Population Figures'!X28)*1000</f>
        <v>35.724194568679458</v>
      </c>
      <c r="V68" s="425">
        <f>(H68/'Population Figures'!X28)*1000</f>
        <v>168.21112677150498</v>
      </c>
      <c r="W68" s="425">
        <f>(I68/'Population Figures'!X28)*1000</f>
        <v>46.999678160409296</v>
      </c>
      <c r="X68" s="500">
        <f>(J68/'Population Figures'!X28)*1000</f>
        <v>13.561654477454582</v>
      </c>
      <c r="Y68" s="186">
        <f>(K68/'Population Figures'!X28)*1000</f>
        <v>0</v>
      </c>
      <c r="Z68" s="186">
        <f>(L68/'Population Figures'!X28)*1000</f>
        <v>0</v>
      </c>
      <c r="AA68" s="501">
        <f>(M68/'Population Figures'!X28)*1000</f>
        <v>31.784434061726618</v>
      </c>
    </row>
    <row r="69" spans="1:27">
      <c r="A69" s="7" t="s">
        <v>54</v>
      </c>
      <c r="B69" s="425">
        <v>121655</v>
      </c>
      <c r="C69" s="280">
        <v>339</v>
      </c>
      <c r="D69" s="425">
        <v>0</v>
      </c>
      <c r="E69" s="425">
        <v>28369</v>
      </c>
      <c r="F69" s="280">
        <v>51313</v>
      </c>
      <c r="G69" s="425">
        <v>8784</v>
      </c>
      <c r="H69" s="425">
        <v>21674</v>
      </c>
      <c r="I69" s="425">
        <v>5103</v>
      </c>
      <c r="J69" s="425">
        <v>1771</v>
      </c>
      <c r="K69" s="280">
        <v>0</v>
      </c>
      <c r="L69" s="280">
        <v>0</v>
      </c>
      <c r="M69" s="280">
        <v>4302</v>
      </c>
      <c r="N69" s="233"/>
      <c r="O69" s="7" t="s">
        <v>54</v>
      </c>
      <c r="P69" s="425">
        <f>(B69*1000)/SUM('Population Figures'!$W29:$Y29)</f>
        <v>714.56681350954477</v>
      </c>
      <c r="Q69" s="280">
        <f>(C69/SUM('Population Figures'!W29:Y29))*1000</f>
        <v>1.9911894273127755</v>
      </c>
      <c r="R69" s="425">
        <f>(D69/'Population Figures'!W29)*1000</f>
        <v>0</v>
      </c>
      <c r="S69" s="425">
        <f>(E69/'Population Figures'!W29)*1000</f>
        <v>823.72241579558658</v>
      </c>
      <c r="T69" s="280">
        <f>(F69/'Population Figures'!Y29)*1000</f>
        <v>1805.7148889749092</v>
      </c>
      <c r="U69" s="425">
        <f>(G69/'Population Figures'!X29)*1000</f>
        <v>81.793040514744916</v>
      </c>
      <c r="V69" s="425">
        <f>(H69/'Population Figures'!X29)*1000</f>
        <v>201.819485441323</v>
      </c>
      <c r="W69" s="425">
        <f>(I69/'Population Figures'!X29)*1000</f>
        <v>47.51706349575857</v>
      </c>
      <c r="X69" s="500">
        <f>(J69/'Population Figures'!X29)*1000</f>
        <v>16.490832735839394</v>
      </c>
      <c r="Y69" s="186">
        <f>(K69/'Population Figures'!X29)*1000</f>
        <v>0</v>
      </c>
      <c r="Z69" s="186">
        <f>(L69/'Population Figures'!X29)*1000</f>
        <v>0</v>
      </c>
      <c r="AA69" s="501">
        <f>(M69/'Population Figures'!X29)*1000</f>
        <v>40.058476809475472</v>
      </c>
    </row>
    <row r="70" spans="1:27">
      <c r="A70" s="7" t="s">
        <v>55</v>
      </c>
      <c r="B70" s="425">
        <v>85416</v>
      </c>
      <c r="C70" s="280">
        <v>306</v>
      </c>
      <c r="D70" s="425">
        <v>25</v>
      </c>
      <c r="E70" s="425">
        <v>16186</v>
      </c>
      <c r="F70" s="280">
        <v>38417</v>
      </c>
      <c r="G70" s="425">
        <v>5857</v>
      </c>
      <c r="H70" s="425">
        <v>20168</v>
      </c>
      <c r="I70" s="425">
        <v>2465</v>
      </c>
      <c r="J70" s="425">
        <v>326</v>
      </c>
      <c r="K70" s="280">
        <v>0</v>
      </c>
      <c r="L70" s="280">
        <v>0</v>
      </c>
      <c r="M70" s="280">
        <v>1666</v>
      </c>
      <c r="N70" s="233"/>
      <c r="O70" s="7" t="s">
        <v>55</v>
      </c>
      <c r="P70" s="425">
        <f>(B70*1000)/SUM('Population Figures'!$W30:$Y30)</f>
        <v>756.76441924337735</v>
      </c>
      <c r="Q70" s="280">
        <f>(C70/SUM('Population Figures'!W30:Y30))*1000</f>
        <v>2.7110835474439621</v>
      </c>
      <c r="R70" s="425">
        <f>(D70/'Population Figures'!W30)*1000</f>
        <v>1.1062436390990751</v>
      </c>
      <c r="S70" s="425">
        <f>(E70/'Population Figures'!W30)*1000</f>
        <v>716.2263816983052</v>
      </c>
      <c r="T70" s="280">
        <f>(F70/'Population Figures'!Y30)*1000</f>
        <v>1679.0646853146854</v>
      </c>
      <c r="U70" s="425">
        <f>(G70/'Population Figures'!X30)*1000</f>
        <v>86.910715080648757</v>
      </c>
      <c r="V70" s="425">
        <f>(H70/'Population Figures'!X30)*1000</f>
        <v>299.26844830912142</v>
      </c>
      <c r="W70" s="425">
        <f>(I70/'Population Figures'!X30)*1000</f>
        <v>36.577584543930193</v>
      </c>
      <c r="X70" s="500">
        <f>(J70/'Population Figures'!X30)*1000</f>
        <v>4.8374412013473611</v>
      </c>
      <c r="Y70" s="186">
        <f>(K70/'Population Figures'!X30)*1000</f>
        <v>0</v>
      </c>
      <c r="Z70" s="186">
        <f>(L70/'Population Figures'!X30)*1000</f>
        <v>0</v>
      </c>
      <c r="AA70" s="501">
        <f>(M70/'Population Figures'!X30)*1000</f>
        <v>24.721401967621787</v>
      </c>
    </row>
    <row r="71" spans="1:27">
      <c r="A71" s="7" t="s">
        <v>56</v>
      </c>
      <c r="B71" s="425">
        <v>34123</v>
      </c>
      <c r="C71" s="280">
        <v>387</v>
      </c>
      <c r="D71" s="425">
        <v>47</v>
      </c>
      <c r="E71" s="425">
        <v>5365</v>
      </c>
      <c r="F71" s="280">
        <v>17347</v>
      </c>
      <c r="G71" s="425">
        <v>2670</v>
      </c>
      <c r="H71" s="425">
        <v>5511</v>
      </c>
      <c r="I71" s="425">
        <v>1675</v>
      </c>
      <c r="J71" s="425">
        <v>755</v>
      </c>
      <c r="K71" s="280">
        <v>0</v>
      </c>
      <c r="L71" s="280">
        <v>0</v>
      </c>
      <c r="M71" s="280">
        <v>366</v>
      </c>
      <c r="N71" s="233"/>
      <c r="O71" s="7" t="s">
        <v>56</v>
      </c>
      <c r="P71" s="425">
        <f>(B71*1000)/SUM('Population Figures'!$W31:$Y31)</f>
        <v>1523.3482142857142</v>
      </c>
      <c r="Q71" s="280">
        <f>(C71/SUM('Population Figures'!W31:Y31))*1000</f>
        <v>17.276785714285712</v>
      </c>
      <c r="R71" s="425">
        <f>(D71/'Population Figures'!W31)*1000</f>
        <v>9.6311475409836067</v>
      </c>
      <c r="S71" s="425">
        <f>(E71/'Population Figures'!W31)*1000</f>
        <v>1099.3852459016393</v>
      </c>
      <c r="T71" s="280">
        <f>(F71/'Population Figures'!Y31)*1000</f>
        <v>4572.2192936215079</v>
      </c>
      <c r="U71" s="425">
        <f>(G71/'Population Figures'!X31)*1000</f>
        <v>194.52134634999271</v>
      </c>
      <c r="V71" s="425">
        <f>(H71/'Population Figures'!X31)*1000</f>
        <v>401.50080139880515</v>
      </c>
      <c r="W71" s="425">
        <f>(I71/'Population Figures'!X31)*1000</f>
        <v>122.03118169896547</v>
      </c>
      <c r="X71" s="500">
        <f>(J71/'Population Figures'!X31)*1000</f>
        <v>55.005099810578464</v>
      </c>
      <c r="Y71" s="186">
        <f>(K71/'Population Figures'!X31)*1000</f>
        <v>0</v>
      </c>
      <c r="Z71" s="186">
        <f>(L71/'Population Figures'!X31)*1000</f>
        <v>0</v>
      </c>
      <c r="AA71" s="501">
        <f>(M71/'Population Figures'!X31)*1000</f>
        <v>26.664723881684395</v>
      </c>
    </row>
    <row r="72" spans="1:27">
      <c r="A72" s="7" t="s">
        <v>57</v>
      </c>
      <c r="B72" s="425">
        <v>86791</v>
      </c>
      <c r="C72" s="280">
        <v>0</v>
      </c>
      <c r="D72" s="425">
        <v>42</v>
      </c>
      <c r="E72" s="425">
        <v>17672</v>
      </c>
      <c r="F72" s="280">
        <v>43301</v>
      </c>
      <c r="G72" s="425">
        <v>3469</v>
      </c>
      <c r="H72" s="425">
        <v>15992</v>
      </c>
      <c r="I72" s="425">
        <v>3743</v>
      </c>
      <c r="J72" s="425">
        <v>1001</v>
      </c>
      <c r="K72" s="280">
        <v>0</v>
      </c>
      <c r="L72" s="280">
        <v>0</v>
      </c>
      <c r="M72" s="280">
        <v>1571</v>
      </c>
      <c r="O72" s="7" t="s">
        <v>57</v>
      </c>
      <c r="P72" s="425">
        <f>(B72*1000)/SUM('Population Figures'!$W32:$Y32)</f>
        <v>778.81371141421391</v>
      </c>
      <c r="Q72" s="280">
        <f>(C72/SUM('Population Figures'!W32:Y32))*1000</f>
        <v>0</v>
      </c>
      <c r="R72" s="425">
        <f>(D72/'Population Figures'!W32)*1000</f>
        <v>2.0267335810452156</v>
      </c>
      <c r="S72" s="425">
        <f>(E72/'Population Figures'!W32)*1000</f>
        <v>852.7722820055011</v>
      </c>
      <c r="T72" s="280">
        <f>(F72/'Population Figures'!Y32)*1000</f>
        <v>1820.3640644049271</v>
      </c>
      <c r="U72" s="425">
        <f>(G72/'Population Figures'!X32)*1000</f>
        <v>51.830270431794411</v>
      </c>
      <c r="V72" s="425">
        <f>(H72/'Population Figures'!X32)*1000</f>
        <v>238.93620200209173</v>
      </c>
      <c r="W72" s="425">
        <f>(I72/'Population Figures'!X32)*1000</f>
        <v>55.92409980576722</v>
      </c>
      <c r="X72" s="500">
        <f>(J72/'Population Figures'!X32)*1000</f>
        <v>14.955924099805767</v>
      </c>
      <c r="Y72" s="186">
        <f>(K72/'Population Figures'!X32)*1000</f>
        <v>0</v>
      </c>
      <c r="Z72" s="186">
        <f>(L72/'Population Figures'!X32)*1000</f>
        <v>0</v>
      </c>
      <c r="AA72" s="501">
        <f>(M72/'Population Figures'!X32)*1000</f>
        <v>23.472284476318542</v>
      </c>
    </row>
    <row r="73" spans="1:27">
      <c r="A73" s="7" t="s">
        <v>58</v>
      </c>
      <c r="B73" s="425">
        <v>188924</v>
      </c>
      <c r="C73" s="280">
        <v>1088</v>
      </c>
      <c r="D73" s="425">
        <v>55</v>
      </c>
      <c r="E73" s="425">
        <v>30990</v>
      </c>
      <c r="F73" s="280">
        <v>90239</v>
      </c>
      <c r="G73" s="425">
        <v>6373</v>
      </c>
      <c r="H73" s="425">
        <v>44545</v>
      </c>
      <c r="I73" s="425">
        <v>8308</v>
      </c>
      <c r="J73" s="425">
        <v>1244</v>
      </c>
      <c r="K73" s="280">
        <v>0</v>
      </c>
      <c r="L73" s="280">
        <v>0</v>
      </c>
      <c r="M73" s="280">
        <v>6082</v>
      </c>
      <c r="O73" s="7" t="s">
        <v>58</v>
      </c>
      <c r="P73" s="425">
        <f>(B73*1000)/SUM('Population Figures'!$W33:$Y33)</f>
        <v>605.7586251122226</v>
      </c>
      <c r="Q73" s="280">
        <f>(C73/SUM('Population Figures'!W33:Y33))*1000</f>
        <v>3.4885212261126073</v>
      </c>
      <c r="R73" s="425">
        <f>(D73/'Population Figures'!W33)*1000</f>
        <v>0.85272639885889701</v>
      </c>
      <c r="S73" s="425">
        <f>(E73/'Population Figures'!W33)*1000</f>
        <v>480.47256546613124</v>
      </c>
      <c r="T73" s="280">
        <f>(F73/'Population Figures'!Y33)*1000</f>
        <v>1727.8889420775492</v>
      </c>
      <c r="U73" s="425">
        <f>(G73/'Population Figures'!X33)*1000</f>
        <v>32.655926540818626</v>
      </c>
      <c r="V73" s="425">
        <f>(H73/'Population Figures'!X33)*1000</f>
        <v>228.25329480005738</v>
      </c>
      <c r="W73" s="425">
        <f>(I73/'Population Figures'!X33)*1000</f>
        <v>42.571071348049763</v>
      </c>
      <c r="X73" s="500">
        <f>(J73/'Population Figures'!X33)*1000</f>
        <v>6.3743876693516981</v>
      </c>
      <c r="Y73" s="186">
        <f>(K73/'Population Figures'!X33)*1000</f>
        <v>0</v>
      </c>
      <c r="Z73" s="186">
        <f>(L73/'Population Figures'!X33)*1000</f>
        <v>0</v>
      </c>
      <c r="AA73" s="501">
        <f>(M73/'Population Figures'!X33)*1000</f>
        <v>31.164811740351308</v>
      </c>
    </row>
    <row r="74" spans="1:27">
      <c r="A74" s="7" t="s">
        <v>59</v>
      </c>
      <c r="B74" s="425">
        <v>53821</v>
      </c>
      <c r="C74" s="280">
        <v>235</v>
      </c>
      <c r="D74" s="425">
        <v>0</v>
      </c>
      <c r="E74" s="425">
        <v>10444</v>
      </c>
      <c r="F74" s="280">
        <v>26190</v>
      </c>
      <c r="G74" s="425">
        <v>3018</v>
      </c>
      <c r="H74" s="425">
        <v>9112</v>
      </c>
      <c r="I74" s="425">
        <v>2238</v>
      </c>
      <c r="J74" s="425">
        <v>333</v>
      </c>
      <c r="K74" s="280">
        <v>0</v>
      </c>
      <c r="L74" s="280">
        <v>0</v>
      </c>
      <c r="M74" s="280">
        <v>2251</v>
      </c>
      <c r="O74" s="7" t="s">
        <v>59</v>
      </c>
      <c r="P74" s="425">
        <f>(B74*1000)/SUM('Population Figures'!$W34:$Y34)</f>
        <v>599.00946021146353</v>
      </c>
      <c r="Q74" s="280">
        <f>(C74/SUM('Population Figures'!W34:Y34))*1000</f>
        <v>2.6154702281580411</v>
      </c>
      <c r="R74" s="425">
        <f>(D74/'Population Figures'!W34)*1000</f>
        <v>0</v>
      </c>
      <c r="S74" s="425">
        <f>(E74/'Population Figures'!W34)*1000</f>
        <v>558.02521906390257</v>
      </c>
      <c r="T74" s="280">
        <f>(F74/'Population Figures'!Y34)*1000</f>
        <v>1701.2016888600194</v>
      </c>
      <c r="U74" s="425">
        <f>(G74/'Population Figures'!X34)*1000</f>
        <v>54.145212508297604</v>
      </c>
      <c r="V74" s="425">
        <f>(H74/'Population Figures'!X34)*1000</f>
        <v>163.47620158237498</v>
      </c>
      <c r="W74" s="425">
        <f>(I74/'Population Figures'!X34)*1000</f>
        <v>40.151420011123271</v>
      </c>
      <c r="X74" s="500">
        <f>(J74/'Population Figures'!X34)*1000</f>
        <v>5.9742729507167338</v>
      </c>
      <c r="Y74" s="186">
        <f>(K74/'Population Figures'!X34)*1000</f>
        <v>0</v>
      </c>
      <c r="Z74" s="186">
        <f>(L74/'Population Figures'!X34)*1000</f>
        <v>0</v>
      </c>
      <c r="AA74" s="501">
        <f>(M74/'Population Figures'!X34)*1000</f>
        <v>40.384649886076183</v>
      </c>
    </row>
    <row r="75" spans="1:27">
      <c r="A75" s="7" t="s">
        <v>60</v>
      </c>
      <c r="B75" s="425">
        <v>75339</v>
      </c>
      <c r="C75" s="280">
        <v>1724</v>
      </c>
      <c r="D75" s="425">
        <v>42</v>
      </c>
      <c r="E75" s="425">
        <v>15518</v>
      </c>
      <c r="F75" s="280">
        <v>30874</v>
      </c>
      <c r="G75" s="425">
        <v>6123</v>
      </c>
      <c r="H75" s="425">
        <v>13759</v>
      </c>
      <c r="I75" s="425">
        <v>5185</v>
      </c>
      <c r="J75" s="425">
        <v>2036</v>
      </c>
      <c r="K75" s="280">
        <v>29</v>
      </c>
      <c r="L75" s="280">
        <v>40</v>
      </c>
      <c r="M75" s="280">
        <v>9</v>
      </c>
      <c r="O75" s="7" t="s">
        <v>60</v>
      </c>
      <c r="P75" s="425">
        <f>(B75*1000)/SUM('Population Figures'!$W35:$Y35)</f>
        <v>831.83173236170921</v>
      </c>
      <c r="Q75" s="280">
        <f>(C75/SUM('Population Figures'!W35:Y35))*1000</f>
        <v>19.035000552059181</v>
      </c>
      <c r="R75" s="425">
        <f>(D75/'Population Figures'!W35)*1000</f>
        <v>2.2772867754703685</v>
      </c>
      <c r="S75" s="425">
        <f>(E75/'Population Figures'!W35)*1000</f>
        <v>841.40324242259931</v>
      </c>
      <c r="T75" s="280">
        <f>(F75/'Population Figures'!Y35)*1000</f>
        <v>2070.6908115358819</v>
      </c>
      <c r="U75" s="425">
        <f>(G75/'Population Figures'!X35)*1000</f>
        <v>107.01364978939826</v>
      </c>
      <c r="V75" s="425">
        <f>(H75/'Population Figures'!X35)*1000</f>
        <v>240.4704895398221</v>
      </c>
      <c r="W75" s="425">
        <f>(I75/'Population Figures'!X35)*1000</f>
        <v>90.6199206529528</v>
      </c>
      <c r="X75" s="500">
        <f>(J75/'Population Figures'!X35)*1000</f>
        <v>35.583829980600171</v>
      </c>
      <c r="Y75" s="186">
        <f>(K75/'Population Figures'!X35)*1000</f>
        <v>0.50684237202230109</v>
      </c>
      <c r="Z75" s="186">
        <f>(L75/'Population Figures'!X35)*1000</f>
        <v>0.69909292692731184</v>
      </c>
      <c r="AA75" s="501">
        <f>(M75/'Population Figures'!X35)*1000</f>
        <v>0.15729590855864514</v>
      </c>
    </row>
    <row r="76" spans="1:27">
      <c r="A76" s="7" t="s">
        <v>61</v>
      </c>
      <c r="B76" s="425">
        <v>88126</v>
      </c>
      <c r="C76" s="280">
        <v>3569</v>
      </c>
      <c r="D76" s="425">
        <v>99</v>
      </c>
      <c r="E76" s="425">
        <v>20416</v>
      </c>
      <c r="F76" s="280">
        <v>34644</v>
      </c>
      <c r="G76" s="425">
        <v>5425</v>
      </c>
      <c r="H76" s="425">
        <v>14544</v>
      </c>
      <c r="I76" s="425">
        <v>4389</v>
      </c>
      <c r="J76" s="425">
        <v>2363</v>
      </c>
      <c r="K76" s="280">
        <v>9</v>
      </c>
      <c r="L76" s="280">
        <v>0</v>
      </c>
      <c r="M76" s="280">
        <v>2668</v>
      </c>
      <c r="O76" s="7" t="s">
        <v>61</v>
      </c>
      <c r="P76" s="425">
        <f>(B76*1000)/SUM('Population Figures'!$W36:$Y36)</f>
        <v>512.12226871222686</v>
      </c>
      <c r="Q76" s="280">
        <f>(C76/SUM('Population Figures'!W36:Y36))*1000</f>
        <v>20.740353324035333</v>
      </c>
      <c r="R76" s="425">
        <f>(D76/'Population Figures'!W36)*1000</f>
        <v>2.5100783448695521</v>
      </c>
      <c r="S76" s="425">
        <f>(E76/'Population Figures'!W36)*1000</f>
        <v>517.63393423087643</v>
      </c>
      <c r="T76" s="280">
        <f>(F76/'Population Figures'!Y36)*1000</f>
        <v>1477.2300869861845</v>
      </c>
      <c r="U76" s="425">
        <f>(G76/'Population Figures'!X36)*1000</f>
        <v>49.685402108309596</v>
      </c>
      <c r="V76" s="425">
        <f>(H76/'Population Figures'!X36)*1000</f>
        <v>133.20267064760458</v>
      </c>
      <c r="W76" s="425">
        <f>(I76/'Population Figures'!X36)*1000</f>
        <v>40.197093060529184</v>
      </c>
      <c r="X76" s="500">
        <f>(J76/'Population Figures'!X36)*1000</f>
        <v>21.641770540448952</v>
      </c>
      <c r="Y76" s="186">
        <f>(K76/'Population Figures'!X36)*1000</f>
        <v>8.2427395202725601E-2</v>
      </c>
      <c r="Z76" s="186">
        <f>(L76/'Population Figures'!X36)*1000</f>
        <v>0</v>
      </c>
      <c r="AA76" s="501">
        <f>(M76/'Population Figures'!X36)*1000</f>
        <v>24.435143377874656</v>
      </c>
    </row>
    <row r="77" spans="1:27">
      <c r="A77" s="52" t="s">
        <v>5</v>
      </c>
      <c r="B77" s="53">
        <v>3609012</v>
      </c>
      <c r="C77" s="52">
        <v>30700</v>
      </c>
      <c r="D77" s="53">
        <v>2384</v>
      </c>
      <c r="E77" s="53">
        <v>773828</v>
      </c>
      <c r="F77" s="52">
        <v>1609595</v>
      </c>
      <c r="G77" s="53">
        <v>209853</v>
      </c>
      <c r="H77" s="53">
        <v>654387</v>
      </c>
      <c r="I77" s="53">
        <v>155520</v>
      </c>
      <c r="J77" s="53">
        <v>59534</v>
      </c>
      <c r="K77" s="52">
        <v>2125</v>
      </c>
      <c r="L77" s="52">
        <v>1539</v>
      </c>
      <c r="M77" s="52">
        <v>109547</v>
      </c>
      <c r="N77" s="1"/>
      <c r="O77" s="52" t="s">
        <v>5</v>
      </c>
      <c r="P77" s="53">
        <f>(B77*1000)/SUM('Population Figures'!$W37:$Y37)</f>
        <v>691.1035790199345</v>
      </c>
      <c r="Q77" s="52">
        <f>(C77/SUM('Population Figures'!W37:Y37))*1000</f>
        <v>5.8788609946190231</v>
      </c>
      <c r="R77" s="53">
        <f>(D77/'Population Figures'!W37)*1000</f>
        <v>2.2970807610814394</v>
      </c>
      <c r="S77" s="53">
        <f>(E77/'Population Figures'!W37)*1000</f>
        <v>745.6146859002215</v>
      </c>
      <c r="T77" s="52">
        <f>(F77/'Population Figures'!Y37)*1000</f>
        <v>1830.1417181736731</v>
      </c>
      <c r="U77" s="53">
        <f>(G77/'Population Figures'!X37)*1000</f>
        <v>63.500050986922226</v>
      </c>
      <c r="V77" s="53">
        <f>(H77/'Population Figures'!X37)*1000</f>
        <v>198.01293222007345</v>
      </c>
      <c r="W77" s="53">
        <f>(I77/'Population Figures'!X37)*1000</f>
        <v>47.059264959215</v>
      </c>
      <c r="X77" s="445">
        <f>(J77/'Population Figures'!X37)*1000</f>
        <v>18.014572274189209</v>
      </c>
      <c r="Y77" s="446">
        <f>(K77/'Population Figures'!X37)*1000</f>
        <v>0.64301014685141378</v>
      </c>
      <c r="Z77" s="446">
        <f>(L77/'Population Figures'!X37)*1000</f>
        <v>0.4656906428255651</v>
      </c>
      <c r="AA77" s="446">
        <f>(M77/'Population Figures'!X37)*1000</f>
        <v>33.148156497473806</v>
      </c>
    </row>
  </sheetData>
  <mergeCells count="4">
    <mergeCell ref="B1:M1"/>
    <mergeCell ref="O1:Z1"/>
    <mergeCell ref="B43:M43"/>
    <mergeCell ref="O43:Z43"/>
  </mergeCells>
  <phoneticPr fontId="5"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A77"/>
  <sheetViews>
    <sheetView topLeftCell="A34" zoomScale="85" zoomScaleNormal="85" workbookViewId="0">
      <selection activeCell="B3" sqref="B3"/>
    </sheetView>
  </sheetViews>
  <sheetFormatPr defaultRowHeight="12.75"/>
  <cols>
    <col min="1" max="1" width="23.28515625" customWidth="1"/>
    <col min="4" max="4" width="10.7109375" customWidth="1"/>
    <col min="7" max="7" width="12.5703125" customWidth="1"/>
    <col min="8" max="9" width="10" customWidth="1"/>
    <col min="10" max="10" width="11" customWidth="1"/>
    <col min="15" max="15" width="23.42578125" customWidth="1"/>
    <col min="21" max="21" width="12.140625" customWidth="1"/>
    <col min="22" max="22" width="10.5703125" customWidth="1"/>
    <col min="24" max="24" width="10.8554687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76.5">
      <c r="A2" s="21" t="s">
        <v>26</v>
      </c>
      <c r="B2" s="10" t="s">
        <v>9</v>
      </c>
      <c r="C2" s="9" t="s">
        <v>10</v>
      </c>
      <c r="D2" s="10" t="s">
        <v>11</v>
      </c>
      <c r="E2" s="10" t="s">
        <v>12</v>
      </c>
      <c r="F2" s="9" t="s">
        <v>14</v>
      </c>
      <c r="G2" s="10" t="s">
        <v>15</v>
      </c>
      <c r="H2" s="10" t="s">
        <v>16</v>
      </c>
      <c r="I2" s="10" t="s">
        <v>17</v>
      </c>
      <c r="J2" s="10" t="s">
        <v>18</v>
      </c>
      <c r="K2" s="9" t="s">
        <v>19</v>
      </c>
      <c r="L2" s="9" t="s">
        <v>20</v>
      </c>
      <c r="M2" s="9" t="s">
        <v>21</v>
      </c>
      <c r="O2" s="21" t="s">
        <v>26</v>
      </c>
      <c r="P2" s="10" t="s">
        <v>9</v>
      </c>
      <c r="Q2" s="9" t="s">
        <v>10</v>
      </c>
      <c r="R2" s="10" t="s">
        <v>11</v>
      </c>
      <c r="S2" s="10" t="s">
        <v>12</v>
      </c>
      <c r="T2" s="9" t="s">
        <v>14</v>
      </c>
      <c r="U2" s="10" t="s">
        <v>15</v>
      </c>
      <c r="V2" s="10" t="s">
        <v>16</v>
      </c>
      <c r="W2" s="10" t="s">
        <v>17</v>
      </c>
      <c r="X2" s="10" t="s">
        <v>18</v>
      </c>
      <c r="Y2" s="9" t="s">
        <v>19</v>
      </c>
      <c r="Z2" s="9" t="s">
        <v>20</v>
      </c>
      <c r="AA2" s="9" t="s">
        <v>21</v>
      </c>
    </row>
    <row r="3" spans="1:27">
      <c r="A3" s="7" t="s">
        <v>31</v>
      </c>
      <c r="B3" s="425">
        <f>B45*$J$39</f>
        <v>160250.87261912297</v>
      </c>
      <c r="C3" s="280">
        <f t="shared" ref="C3:M3" si="0">C45*$J$39</f>
        <v>736.24485857115747</v>
      </c>
      <c r="D3" s="425">
        <f t="shared" si="0"/>
        <v>0</v>
      </c>
      <c r="E3" s="425">
        <f t="shared" si="0"/>
        <v>36863.158893880915</v>
      </c>
      <c r="F3" s="280">
        <f t="shared" si="0"/>
        <v>65756.950895399612</v>
      </c>
      <c r="G3" s="425">
        <f t="shared" si="0"/>
        <v>9044.7120799848144</v>
      </c>
      <c r="H3" s="425">
        <f t="shared" si="0"/>
        <v>31711.481522495731</v>
      </c>
      <c r="I3" s="425">
        <f t="shared" si="0"/>
        <v>9159.7821616148849</v>
      </c>
      <c r="J3" s="425">
        <f t="shared" si="0"/>
        <v>2302.4199519078661</v>
      </c>
      <c r="K3" s="280">
        <f t="shared" si="0"/>
        <v>0</v>
      </c>
      <c r="L3" s="280">
        <f t="shared" si="0"/>
        <v>0</v>
      </c>
      <c r="M3" s="280">
        <f t="shared" si="0"/>
        <v>4676.1222552679874</v>
      </c>
      <c r="N3" s="233"/>
      <c r="O3" s="7" t="s">
        <v>31</v>
      </c>
      <c r="P3" s="8">
        <f>(B3*1000)/SUM('Population Figures'!$Z5:$AB5)</f>
        <v>720.35814357243078</v>
      </c>
      <c r="Q3" s="280">
        <f>(C3/SUM('Population Figures'!Z5:AB5))*1000</f>
        <v>3.3095606336921577</v>
      </c>
      <c r="R3" s="8">
        <f>(D3/'Population Figures'!Z5)*1000</f>
        <v>0</v>
      </c>
      <c r="S3" s="8">
        <f>(E3/'Population Figures'!Z5)*1000</f>
        <v>1008.2645139323574</v>
      </c>
      <c r="T3" s="7">
        <f>(F3/'Population Figures'!AB5)*1000</f>
        <v>2039.0384475611527</v>
      </c>
      <c r="U3" s="8">
        <f>(G3/'Population Figures'!AA5)*1000</f>
        <v>58.865682264788902</v>
      </c>
      <c r="V3" s="8">
        <f>(H3/'Population Figures'!AA5)*1000</f>
        <v>206.38777430846557</v>
      </c>
      <c r="W3" s="8">
        <f>(I3/'Population Figures'!AA5)*1000</f>
        <v>59.614592656133325</v>
      </c>
      <c r="X3" s="185">
        <f>(J3/'Population Figures'!AA5)*1000</f>
        <v>14.984835352475537</v>
      </c>
      <c r="Y3" s="186">
        <f>(K3/'Population Figures'!AA5)*1000</f>
        <v>0</v>
      </c>
      <c r="Z3" s="186">
        <f>(L3/'Population Figures'!AA5)*1000</f>
        <v>0</v>
      </c>
      <c r="AA3" s="186">
        <f>(M3/'Population Figures'!AA5)*1000</f>
        <v>30.433597496049384</v>
      </c>
    </row>
    <row r="4" spans="1:27">
      <c r="A4" s="7" t="s">
        <v>32</v>
      </c>
      <c r="B4" s="425">
        <f t="shared" ref="B4:M35" si="1">B46*$J$39</f>
        <v>145036.16386129218</v>
      </c>
      <c r="C4" s="280">
        <f t="shared" si="1"/>
        <v>1426.665348351579</v>
      </c>
      <c r="D4" s="425">
        <f t="shared" si="1"/>
        <v>120.16167816237424</v>
      </c>
      <c r="E4" s="425">
        <f t="shared" si="1"/>
        <v>26364.286844270078</v>
      </c>
      <c r="F4" s="280">
        <f t="shared" si="1"/>
        <v>61600.171486426632</v>
      </c>
      <c r="G4" s="425">
        <f t="shared" si="1"/>
        <v>4810.5404037208127</v>
      </c>
      <c r="H4" s="425">
        <f t="shared" si="1"/>
        <v>39424.231949629822</v>
      </c>
      <c r="I4" s="425">
        <f t="shared" si="1"/>
        <v>5300.3519901284571</v>
      </c>
      <c r="J4" s="425">
        <f t="shared" si="1"/>
        <v>2632.3554072011648</v>
      </c>
      <c r="K4" s="280">
        <f t="shared" si="1"/>
        <v>0</v>
      </c>
      <c r="L4" s="280">
        <f t="shared" si="1"/>
        <v>0</v>
      </c>
      <c r="M4" s="280">
        <f t="shared" si="1"/>
        <v>3357.3987534012535</v>
      </c>
      <c r="N4" s="233"/>
      <c r="O4" s="7" t="s">
        <v>32</v>
      </c>
      <c r="P4" s="8">
        <f>(B4*1000)/SUM('Population Figures'!$Z6:$AB6)</f>
        <v>571.796427602177</v>
      </c>
      <c r="Q4" s="280">
        <f>(C4/SUM('Population Figures'!Z6:AB6))*1000</f>
        <v>5.6245430646622472</v>
      </c>
      <c r="R4" s="8">
        <f>(D4/'Population Figures'!Z6)*1000</f>
        <v>2.2207336702281366</v>
      </c>
      <c r="S4" s="8">
        <f>(E4/'Population Figures'!Z6)*1000</f>
        <v>487.24402306954624</v>
      </c>
      <c r="T4" s="7">
        <f>(F4/'Population Figures'!AB6)*1000</f>
        <v>1497.6580070123903</v>
      </c>
      <c r="U4" s="8">
        <f>(G4/'Population Figures'!AA6)*1000</f>
        <v>30.367656105806532</v>
      </c>
      <c r="V4" s="8">
        <f>(H4/'Population Figures'!AA6)*1000</f>
        <v>248.87464143444114</v>
      </c>
      <c r="W4" s="8">
        <f>(I4/'Population Figures'!AA6)*1000</f>
        <v>33.459705764335951</v>
      </c>
      <c r="X4" s="185">
        <f>(J4/'Population Figures'!AA6)*1000</f>
        <v>16.617356272969918</v>
      </c>
      <c r="Y4" s="186">
        <f>(K4/'Population Figures'!AA6)*1000</f>
        <v>0</v>
      </c>
      <c r="Z4" s="186">
        <f>(L4/'Population Figures'!AA6)*1000</f>
        <v>0</v>
      </c>
      <c r="AA4" s="186">
        <f>(M4/'Population Figures'!AA6)*1000</f>
        <v>21.194361172913663</v>
      </c>
    </row>
    <row r="5" spans="1:27">
      <c r="A5" s="7" t="s">
        <v>33</v>
      </c>
      <c r="B5" s="425">
        <f t="shared" si="1"/>
        <v>75055.224482693171</v>
      </c>
      <c r="C5" s="280">
        <f t="shared" si="1"/>
        <v>400.1994874390939</v>
      </c>
      <c r="D5" s="425">
        <f t="shared" si="1"/>
        <v>116.08840093653106</v>
      </c>
      <c r="E5" s="425">
        <f t="shared" si="1"/>
        <v>14568.075998228187</v>
      </c>
      <c r="F5" s="280">
        <f t="shared" si="1"/>
        <v>38177.809118521807</v>
      </c>
      <c r="G5" s="425">
        <f t="shared" si="1"/>
        <v>3985.7017654875663</v>
      </c>
      <c r="H5" s="425">
        <f t="shared" si="1"/>
        <v>12121.054704802887</v>
      </c>
      <c r="I5" s="425">
        <f t="shared" si="1"/>
        <v>2877.7703600582172</v>
      </c>
      <c r="J5" s="425">
        <f t="shared" si="1"/>
        <v>1108.9497247358097</v>
      </c>
      <c r="K5" s="280">
        <f t="shared" si="1"/>
        <v>16.293108903372779</v>
      </c>
      <c r="L5" s="280">
        <f t="shared" si="1"/>
        <v>0</v>
      </c>
      <c r="M5" s="280">
        <f t="shared" si="1"/>
        <v>1683.2818135797004</v>
      </c>
      <c r="N5" s="233"/>
      <c r="O5" s="7" t="s">
        <v>33</v>
      </c>
      <c r="P5" s="8">
        <f>(B5*1000)/SUM('Population Figures'!$Z7:$AB7)</f>
        <v>645.91415217463998</v>
      </c>
      <c r="Q5" s="280">
        <f>(C5/SUM('Population Figures'!Z7:AB7))*1000</f>
        <v>3.444057551110963</v>
      </c>
      <c r="R5" s="8">
        <f>(D5/'Population Figures'!Z7)*1000</f>
        <v>5.0180859746058211</v>
      </c>
      <c r="S5" s="8">
        <f>(E5/'Population Figures'!Z7)*1000</f>
        <v>629.72577151500764</v>
      </c>
      <c r="T5" s="7">
        <f>(F5/'Population Figures'!AB7)*1000</f>
        <v>1643.257828025731</v>
      </c>
      <c r="U5" s="8">
        <f>(G5/'Population Figures'!AA7)*1000</f>
        <v>57.074760721830167</v>
      </c>
      <c r="V5" s="8">
        <f>(H5/'Population Figures'!AA7)*1000</f>
        <v>173.57201759630672</v>
      </c>
      <c r="W5" s="8">
        <f>(I5/'Population Figures'!AA7)*1000</f>
        <v>41.209318804264704</v>
      </c>
      <c r="X5" s="185">
        <f>(J5/'Population Figures'!AA7)*1000</f>
        <v>15.880024125210282</v>
      </c>
      <c r="Y5" s="186">
        <f>(K5/'Population Figures'!AA7)*1000</f>
        <v>0.23331532231713917</v>
      </c>
      <c r="Z5" s="186">
        <f>(L5/'Population Figures'!AA7)*1000</f>
        <v>0</v>
      </c>
      <c r="AA5" s="186">
        <f>(M5/'Population Figures'!AA7)*1000</f>
        <v>24.104389236889443</v>
      </c>
    </row>
    <row r="6" spans="1:27">
      <c r="A6" s="7" t="s">
        <v>34</v>
      </c>
      <c r="B6" s="425">
        <f t="shared" si="1"/>
        <v>63756.971777510611</v>
      </c>
      <c r="C6" s="280">
        <f t="shared" si="1"/>
        <v>210.79209643738534</v>
      </c>
      <c r="D6" s="425">
        <f t="shared" si="1"/>
        <v>56.00756185534393</v>
      </c>
      <c r="E6" s="425">
        <f t="shared" si="1"/>
        <v>10787.05641333924</v>
      </c>
      <c r="F6" s="280">
        <f t="shared" si="1"/>
        <v>33172.769727266976</v>
      </c>
      <c r="G6" s="425">
        <f t="shared" si="1"/>
        <v>1462.3065240777069</v>
      </c>
      <c r="H6" s="425">
        <f t="shared" si="1"/>
        <v>14301.276339935457</v>
      </c>
      <c r="I6" s="425">
        <f t="shared" si="1"/>
        <v>3024.4083401885723</v>
      </c>
      <c r="J6" s="425">
        <f t="shared" si="1"/>
        <v>694.49376700626476</v>
      </c>
      <c r="K6" s="280">
        <f t="shared" si="1"/>
        <v>0</v>
      </c>
      <c r="L6" s="280">
        <f t="shared" si="1"/>
        <v>0</v>
      </c>
      <c r="M6" s="280">
        <f t="shared" si="1"/>
        <v>47.861007403657538</v>
      </c>
      <c r="N6" s="233"/>
      <c r="O6" s="7" t="s">
        <v>34</v>
      </c>
      <c r="P6" s="8">
        <f>(B6*1000)/SUM('Population Figures'!$Z8:$AB8)</f>
        <v>716.93435035995287</v>
      </c>
      <c r="Q6" s="280">
        <f>(C6/SUM('Population Figures'!Z8:AB8))*1000</f>
        <v>2.3703148143189625</v>
      </c>
      <c r="R6" s="8">
        <f>(D6/'Population Figures'!Z8)*1000</f>
        <v>3.3814865577095894</v>
      </c>
      <c r="S6" s="8">
        <f>(E6/'Population Figures'!Z8)*1000</f>
        <v>651.27431101486684</v>
      </c>
      <c r="T6" s="7">
        <f>(F6/'Population Figures'!AB8)*1000</f>
        <v>1702.3025466858405</v>
      </c>
      <c r="U6" s="8">
        <f>(G6/'Population Figures'!AA8)*1000</f>
        <v>27.653300379684321</v>
      </c>
      <c r="V6" s="8">
        <f>(H6/'Population Figures'!AA8)*1000</f>
        <v>270.44773713947535</v>
      </c>
      <c r="W6" s="8">
        <f>(I6/'Population Figures'!AA8)*1000</f>
        <v>57.193803710071336</v>
      </c>
      <c r="X6" s="185">
        <f>(J6/'Population Figures'!AA8)*1000</f>
        <v>13.133391963053418</v>
      </c>
      <c r="Y6" s="186">
        <f>(K6/'Population Figures'!AA8)*1000</f>
        <v>0</v>
      </c>
      <c r="Z6" s="186">
        <f>(L6/'Population Figures'!AA8)*1000</f>
        <v>0</v>
      </c>
      <c r="AA6" s="186">
        <f>(M6/'Population Figures'!AA8)*1000</f>
        <v>0.90508712941863723</v>
      </c>
    </row>
    <row r="7" spans="1:27">
      <c r="A7" s="7" t="s">
        <v>35</v>
      </c>
      <c r="B7" s="425">
        <f t="shared" si="1"/>
        <v>35845.857906726575</v>
      </c>
      <c r="C7" s="280">
        <f t="shared" si="1"/>
        <v>94.70369550085428</v>
      </c>
      <c r="D7" s="425">
        <f t="shared" si="1"/>
        <v>3.0549579193823959</v>
      </c>
      <c r="E7" s="425">
        <f t="shared" si="1"/>
        <v>8455.1052015440109</v>
      </c>
      <c r="F7" s="280">
        <f t="shared" si="1"/>
        <v>14647.504904132129</v>
      </c>
      <c r="G7" s="425">
        <f t="shared" si="1"/>
        <v>3199.5592608998295</v>
      </c>
      <c r="H7" s="425">
        <f t="shared" si="1"/>
        <v>4873.6762007213829</v>
      </c>
      <c r="I7" s="425">
        <f t="shared" si="1"/>
        <v>2300.3833132949444</v>
      </c>
      <c r="J7" s="425">
        <f t="shared" si="1"/>
        <v>468.42688097196742</v>
      </c>
      <c r="K7" s="280">
        <f t="shared" si="1"/>
        <v>0</v>
      </c>
      <c r="L7" s="280">
        <f t="shared" si="1"/>
        <v>0</v>
      </c>
      <c r="M7" s="280">
        <f t="shared" si="1"/>
        <v>1803.4434917420745</v>
      </c>
      <c r="N7" s="233"/>
      <c r="O7" s="7" t="s">
        <v>35</v>
      </c>
      <c r="P7" s="8">
        <f>(B7*1000)/SUM('Population Figures'!$Z9:$AB9)</f>
        <v>696.03607585876853</v>
      </c>
      <c r="Q7" s="280">
        <f>(C7/SUM('Population Figures'!Z9:AB9))*1000</f>
        <v>1.8389067087544519</v>
      </c>
      <c r="R7" s="8">
        <f>(D7/'Population Figures'!Z9)*1000</f>
        <v>0.28671590045822581</v>
      </c>
      <c r="S7" s="8">
        <f>(E7/'Population Figures'!Z9)*1000</f>
        <v>793.53404050154961</v>
      </c>
      <c r="T7" s="7">
        <f>(F7/'Population Figures'!AB9)*1000</f>
        <v>1761.7879365085553</v>
      </c>
      <c r="U7" s="8">
        <f>(G7/'Population Figures'!AA9)*1000</f>
        <v>98.354162518822946</v>
      </c>
      <c r="V7" s="8">
        <f>(H7/'Population Figures'!AA9)*1000</f>
        <v>149.81636595005943</v>
      </c>
      <c r="W7" s="8">
        <f>(I7/'Population Figures'!AA9)*1000</f>
        <v>70.713575152775647</v>
      </c>
      <c r="X7" s="185">
        <f>(J7/'Population Figures'!AA9)*1000</f>
        <v>14.399399986842317</v>
      </c>
      <c r="Y7" s="186">
        <f>(K7/'Population Figures'!AA9)*1000</f>
        <v>0</v>
      </c>
      <c r="Z7" s="186">
        <f>(L7/'Population Figures'!AA9)*1000</f>
        <v>0</v>
      </c>
      <c r="AA7" s="186">
        <f>(M7/'Population Figures'!AA9)*1000</f>
        <v>55.437689949342918</v>
      </c>
    </row>
    <row r="8" spans="1:27">
      <c r="A8" s="7" t="s">
        <v>36</v>
      </c>
      <c r="B8" s="425">
        <f t="shared" si="1"/>
        <v>109138.3716699361</v>
      </c>
      <c r="C8" s="280">
        <f t="shared" si="1"/>
        <v>3492.8352211605397</v>
      </c>
      <c r="D8" s="425">
        <f t="shared" si="1"/>
        <v>124.23495538821744</v>
      </c>
      <c r="E8" s="425">
        <f t="shared" si="1"/>
        <v>20035.432354616216</v>
      </c>
      <c r="F8" s="280">
        <f t="shared" si="1"/>
        <v>54009.619376067843</v>
      </c>
      <c r="G8" s="425">
        <f t="shared" si="1"/>
        <v>6714.7975068025071</v>
      </c>
      <c r="H8" s="425">
        <f t="shared" si="1"/>
        <v>16487.607890906791</v>
      </c>
      <c r="I8" s="425">
        <f t="shared" si="1"/>
        <v>4077.350503069038</v>
      </c>
      <c r="J8" s="425">
        <f t="shared" si="1"/>
        <v>488.7932671011834</v>
      </c>
      <c r="K8" s="280">
        <f t="shared" si="1"/>
        <v>0</v>
      </c>
      <c r="L8" s="280">
        <f t="shared" si="1"/>
        <v>0</v>
      </c>
      <c r="M8" s="280">
        <f t="shared" si="1"/>
        <v>3707.7005948237679</v>
      </c>
      <c r="N8" s="233"/>
      <c r="O8" s="7" t="s">
        <v>36</v>
      </c>
      <c r="P8" s="8">
        <f>(B8*1000)/SUM('Population Figures'!$Z10:$AB10)</f>
        <v>720.81349758890485</v>
      </c>
      <c r="Q8" s="280">
        <f>(C8/SUM('Population Figures'!Z10:AB10))*1000</f>
        <v>23.068722152833626</v>
      </c>
      <c r="R8" s="8">
        <f>(D8/'Population Figures'!Z10)*1000</f>
        <v>4.2977464070369615</v>
      </c>
      <c r="S8" s="8">
        <f>(E8/'Population Figures'!Z10)*1000</f>
        <v>693.09967670862466</v>
      </c>
      <c r="T8" s="7">
        <f>(F8/'Population Figures'!AB10)*1000</f>
        <v>1621.7156910901947</v>
      </c>
      <c r="U8" s="8">
        <f>(G8/'Population Figures'!AA10)*1000</f>
        <v>75.2788428884013</v>
      </c>
      <c r="V8" s="8">
        <f>(H8/'Population Figures'!AA10)*1000</f>
        <v>184.84072569094712</v>
      </c>
      <c r="W8" s="8">
        <f>(I8/'Population Figures'!AA10)*1000</f>
        <v>45.710719885526053</v>
      </c>
      <c r="X8" s="185">
        <f>(J8/'Population Figures'!AA10)*1000</f>
        <v>5.4798065796834434</v>
      </c>
      <c r="Y8" s="186">
        <f>(K8/'Population Figures'!AA10)*1000</f>
        <v>0</v>
      </c>
      <c r="Z8" s="186">
        <f>(L8/'Population Figures'!AA10)*1000</f>
        <v>0</v>
      </c>
      <c r="AA8" s="186">
        <f>(M8/'Population Figures'!AA10)*1000</f>
        <v>41.566616159640439</v>
      </c>
    </row>
    <row r="9" spans="1:27">
      <c r="A9" s="7" t="s">
        <v>37</v>
      </c>
      <c r="B9" s="425">
        <f t="shared" si="1"/>
        <v>119959.03262038855</v>
      </c>
      <c r="C9" s="280">
        <f t="shared" si="1"/>
        <v>812.61880655571736</v>
      </c>
      <c r="D9" s="425">
        <f t="shared" si="1"/>
        <v>263.74470037334686</v>
      </c>
      <c r="E9" s="425">
        <f t="shared" si="1"/>
        <v>32394.773777130929</v>
      </c>
      <c r="F9" s="280">
        <f t="shared" si="1"/>
        <v>49673.615769157761</v>
      </c>
      <c r="G9" s="425">
        <f t="shared" si="1"/>
        <v>7883.8280706195037</v>
      </c>
      <c r="H9" s="425">
        <f t="shared" si="1"/>
        <v>17930.566348161745</v>
      </c>
      <c r="I9" s="425">
        <f t="shared" si="1"/>
        <v>4454.1286464595332</v>
      </c>
      <c r="J9" s="425">
        <f t="shared" si="1"/>
        <v>1137.4626653167122</v>
      </c>
      <c r="K9" s="280">
        <f t="shared" si="1"/>
        <v>229.1218439536797</v>
      </c>
      <c r="L9" s="280">
        <f t="shared" si="1"/>
        <v>0</v>
      </c>
      <c r="M9" s="280">
        <f t="shared" si="1"/>
        <v>5179.1719926596224</v>
      </c>
      <c r="N9" s="233"/>
      <c r="O9" s="7" t="s">
        <v>37</v>
      </c>
      <c r="P9" s="8">
        <f>(B9*1000)/SUM('Population Figures'!$Z11:$AB11)</f>
        <v>814.93908030155262</v>
      </c>
      <c r="Q9" s="280">
        <f>(C9/SUM('Population Figures'!Z11:AB11))*1000</f>
        <v>5.5205081967100362</v>
      </c>
      <c r="R9" s="8">
        <f>(D9/'Population Figures'!Z11)*1000</f>
        <v>9.8214307132399963</v>
      </c>
      <c r="S9" s="8">
        <f>(E9/'Population Figures'!Z11)*1000</f>
        <v>1206.3295515428217</v>
      </c>
      <c r="T9" s="7">
        <f>(F9/'Population Figures'!AB11)*1000</f>
        <v>2014.5030322474558</v>
      </c>
      <c r="U9" s="8">
        <f>(G9/'Population Figures'!AA11)*1000</f>
        <v>82.390979753150901</v>
      </c>
      <c r="V9" s="8">
        <f>(H9/'Population Figures'!AA11)*1000</f>
        <v>187.385736436771</v>
      </c>
      <c r="W9" s="8">
        <f>(I9/'Population Figures'!AA11)*1000</f>
        <v>46.548455882237413</v>
      </c>
      <c r="X9" s="185">
        <f>(J9/'Population Figures'!AA11)*1000</f>
        <v>11.887202839611154</v>
      </c>
      <c r="Y9" s="186">
        <f>(K9/'Population Figures'!AA11)*1000</f>
        <v>2.3944678951768217</v>
      </c>
      <c r="Z9" s="186">
        <f>(L9/'Population Figures'!AA11)*1000</f>
        <v>0</v>
      </c>
      <c r="AA9" s="186">
        <f>(M9/'Population Figures'!AA11)*1000</f>
        <v>54.125616510530293</v>
      </c>
    </row>
    <row r="10" spans="1:27">
      <c r="A10" s="7" t="s">
        <v>38</v>
      </c>
      <c r="B10" s="425">
        <f t="shared" si="1"/>
        <v>86854.490286654443</v>
      </c>
      <c r="C10" s="280">
        <f t="shared" si="1"/>
        <v>758.6478833132951</v>
      </c>
      <c r="D10" s="425">
        <f t="shared" si="1"/>
        <v>67.20907422641271</v>
      </c>
      <c r="E10" s="425">
        <f t="shared" si="1"/>
        <v>23490.589761437706</v>
      </c>
      <c r="F10" s="280">
        <f t="shared" si="1"/>
        <v>39117.717838385121</v>
      </c>
      <c r="G10" s="425">
        <f t="shared" si="1"/>
        <v>3930.7125229386829</v>
      </c>
      <c r="H10" s="425">
        <f t="shared" si="1"/>
        <v>13925.516515851423</v>
      </c>
      <c r="I10" s="425">
        <f t="shared" si="1"/>
        <v>2489.7907042966531</v>
      </c>
      <c r="J10" s="425">
        <f t="shared" si="1"/>
        <v>502.03141808517375</v>
      </c>
      <c r="K10" s="280">
        <f t="shared" si="1"/>
        <v>0</v>
      </c>
      <c r="L10" s="280">
        <f t="shared" si="1"/>
        <v>0</v>
      </c>
      <c r="M10" s="280">
        <f t="shared" si="1"/>
        <v>2572.2745681199776</v>
      </c>
      <c r="N10" s="233"/>
      <c r="O10" s="7" t="s">
        <v>38</v>
      </c>
      <c r="P10" s="8">
        <f>(B10*1000)/SUM('Population Figures'!$Z12:$AB12)</f>
        <v>707.9182515824798</v>
      </c>
      <c r="Q10" s="280">
        <f>(C10/SUM('Population Figures'!Z12:AB12))*1000</f>
        <v>6.1834532831795181</v>
      </c>
      <c r="R10" s="8">
        <f>(D10/'Population Figures'!Z12)*1000</f>
        <v>2.723440887689955</v>
      </c>
      <c r="S10" s="8">
        <f>(E10/'Population Figures'!Z12)*1000</f>
        <v>951.88385450351359</v>
      </c>
      <c r="T10" s="7">
        <f>(F10/'Population Figures'!AB12)*1000</f>
        <v>1825.5421802494457</v>
      </c>
      <c r="U10" s="8">
        <f>(G10/'Population Figures'!AA12)*1000</f>
        <v>51.325505627006727</v>
      </c>
      <c r="V10" s="8">
        <f>(H10/'Population Figures'!AA12)*1000</f>
        <v>181.83323560863136</v>
      </c>
      <c r="W10" s="8">
        <f>(I10/'Population Figures'!AA12)*1000</f>
        <v>32.510585818142857</v>
      </c>
      <c r="X10" s="185">
        <f>(J10/'Population Figures'!AA12)*1000</f>
        <v>6.555304216091792</v>
      </c>
      <c r="Y10" s="186">
        <f>(K10/'Population Figures'!AA12)*1000</f>
        <v>0</v>
      </c>
      <c r="Z10" s="186">
        <f>(L10/'Population Figures'!AA12)*1000</f>
        <v>0</v>
      </c>
      <c r="AA10" s="186">
        <f>(M10/'Population Figures'!AA12)*1000</f>
        <v>33.587623630523055</v>
      </c>
    </row>
    <row r="11" spans="1:27">
      <c r="A11" s="7" t="s">
        <v>39</v>
      </c>
      <c r="B11" s="425">
        <f t="shared" si="1"/>
        <v>74114.297443523392</v>
      </c>
      <c r="C11" s="280">
        <f t="shared" si="1"/>
        <v>1360.474593431627</v>
      </c>
      <c r="D11" s="425">
        <f t="shared" si="1"/>
        <v>6.1099158387647918</v>
      </c>
      <c r="E11" s="425">
        <f t="shared" si="1"/>
        <v>11529.411187749163</v>
      </c>
      <c r="F11" s="280">
        <f t="shared" si="1"/>
        <v>36637.092007846615</v>
      </c>
      <c r="G11" s="425">
        <f t="shared" si="1"/>
        <v>4291.1975574258058</v>
      </c>
      <c r="H11" s="425">
        <f t="shared" si="1"/>
        <v>16170.910586597483</v>
      </c>
      <c r="I11" s="425">
        <f t="shared" si="1"/>
        <v>3200.5775802062903</v>
      </c>
      <c r="J11" s="425">
        <f t="shared" si="1"/>
        <v>887.97443523381651</v>
      </c>
      <c r="K11" s="280">
        <f t="shared" si="1"/>
        <v>0</v>
      </c>
      <c r="L11" s="280">
        <f t="shared" si="1"/>
        <v>0</v>
      </c>
      <c r="M11" s="280">
        <f t="shared" si="1"/>
        <v>30.549579193823963</v>
      </c>
      <c r="N11" s="233"/>
      <c r="O11" s="7" t="s">
        <v>39</v>
      </c>
      <c r="P11" s="8">
        <f>(B11*1000)/SUM('Population Figures'!$Z13:$AB13)</f>
        <v>705.8504518430799</v>
      </c>
      <c r="Q11" s="280">
        <f>(C11/SUM('Population Figures'!Z13:AB13))*1000</f>
        <v>12.95690088982502</v>
      </c>
      <c r="R11" s="8">
        <f>(D11/'Population Figures'!Z13)*1000</f>
        <v>0.28483128240011152</v>
      </c>
      <c r="S11" s="8">
        <f>(E11/'Population Figures'!Z13)*1000</f>
        <v>537.4766298890105</v>
      </c>
      <c r="T11" s="7">
        <f>(F11/'Population Figures'!AB13)*1000</f>
        <v>1776.8607598742237</v>
      </c>
      <c r="U11" s="8">
        <f>(G11/'Population Figures'!AA13)*1000</f>
        <v>68.190013625072396</v>
      </c>
      <c r="V11" s="8">
        <f>(H11/'Population Figures'!AA13)*1000</f>
        <v>256.96663890985985</v>
      </c>
      <c r="W11" s="8">
        <f>(I11/'Population Figures'!AA13)*1000</f>
        <v>50.859329099098851</v>
      </c>
      <c r="X11" s="185">
        <f>(J11/'Population Figures'!AA13)*1000</f>
        <v>14.11051065046586</v>
      </c>
      <c r="Y11" s="186">
        <f>(K11/'Population Figures'!AA13)*1000</f>
        <v>0</v>
      </c>
      <c r="Z11" s="186">
        <f>(L11/'Population Figures'!AA13)*1000</f>
        <v>0</v>
      </c>
      <c r="AA11" s="186">
        <f>(M11/'Population Figures'!AA13)*1000</f>
        <v>0.48545334806648593</v>
      </c>
    </row>
    <row r="12" spans="1:27">
      <c r="A12" s="7" t="s">
        <v>40</v>
      </c>
      <c r="B12" s="425">
        <f t="shared" si="1"/>
        <v>62397.515503385439</v>
      </c>
      <c r="C12" s="280">
        <f t="shared" si="1"/>
        <v>487.77494779472261</v>
      </c>
      <c r="D12" s="425">
        <f t="shared" si="1"/>
        <v>54.989242548883134</v>
      </c>
      <c r="E12" s="425">
        <f t="shared" si="1"/>
        <v>11973.398405366072</v>
      </c>
      <c r="F12" s="280">
        <f t="shared" si="1"/>
        <v>28917.213345567299</v>
      </c>
      <c r="G12" s="425">
        <f t="shared" si="1"/>
        <v>5228.0513193697407</v>
      </c>
      <c r="H12" s="425">
        <f t="shared" si="1"/>
        <v>11536.539422894388</v>
      </c>
      <c r="I12" s="425">
        <f t="shared" si="1"/>
        <v>1883.8907169524775</v>
      </c>
      <c r="J12" s="425">
        <f t="shared" si="1"/>
        <v>1068.2169524773778</v>
      </c>
      <c r="K12" s="280">
        <f t="shared" si="1"/>
        <v>0</v>
      </c>
      <c r="L12" s="280">
        <f t="shared" si="1"/>
        <v>0</v>
      </c>
      <c r="M12" s="280">
        <f t="shared" si="1"/>
        <v>1247.4411504144784</v>
      </c>
      <c r="N12" s="233"/>
      <c r="O12" s="7" t="s">
        <v>40</v>
      </c>
      <c r="P12" s="8">
        <f>(B12*1000)/SUM('Population Figures'!$Z14:$AB14)</f>
        <v>624.47473482171176</v>
      </c>
      <c r="Q12" s="280">
        <f>(C12/SUM('Population Figures'!Z14:AB14))*1000</f>
        <v>4.881654801788657</v>
      </c>
      <c r="R12" s="8">
        <f>(D12/'Population Figures'!Z14)*1000</f>
        <v>2.5860253267909674</v>
      </c>
      <c r="S12" s="8">
        <f>(E12/'Population Figures'!Z14)*1000</f>
        <v>563.08307022978147</v>
      </c>
      <c r="T12" s="7">
        <f>(F12/'Population Figures'!AB14)*1000</f>
        <v>1614.494631543035</v>
      </c>
      <c r="U12" s="8">
        <f>(G12/'Population Figures'!AA14)*1000</f>
        <v>86.065541515676045</v>
      </c>
      <c r="V12" s="8">
        <f>(H12/'Population Figures'!AA14)*1000</f>
        <v>189.91751457559286</v>
      </c>
      <c r="W12" s="8">
        <f>(I12/'Population Figures'!AA14)*1000</f>
        <v>31.013099299571614</v>
      </c>
      <c r="X12" s="185">
        <f>(J12/'Population Figures'!AA14)*1000</f>
        <v>17.585265494730066</v>
      </c>
      <c r="Y12" s="186">
        <f>(K12/'Population Figures'!AA14)*1000</f>
        <v>0</v>
      </c>
      <c r="Z12" s="186">
        <f>(L12/'Population Figures'!AA14)*1000</f>
        <v>0</v>
      </c>
      <c r="AA12" s="186">
        <f>(M12/'Population Figures'!AA14)*1000</f>
        <v>20.535700887554178</v>
      </c>
    </row>
    <row r="13" spans="1:27">
      <c r="A13" s="7" t="s">
        <v>41</v>
      </c>
      <c r="B13" s="425">
        <f t="shared" si="1"/>
        <v>54648.105581218762</v>
      </c>
      <c r="C13" s="280">
        <f t="shared" si="1"/>
        <v>1411.3905587546669</v>
      </c>
      <c r="D13" s="425">
        <f t="shared" si="1"/>
        <v>0</v>
      </c>
      <c r="E13" s="425">
        <f t="shared" si="1"/>
        <v>7124.1618679997482</v>
      </c>
      <c r="F13" s="280">
        <f t="shared" si="1"/>
        <v>25715.617446054552</v>
      </c>
      <c r="G13" s="425">
        <f t="shared" si="1"/>
        <v>2867.5871669936091</v>
      </c>
      <c r="H13" s="425">
        <f t="shared" si="1"/>
        <v>12761.577548566729</v>
      </c>
      <c r="I13" s="425">
        <f t="shared" si="1"/>
        <v>2545.7982661519968</v>
      </c>
      <c r="J13" s="425">
        <f t="shared" si="1"/>
        <v>806.50889071695258</v>
      </c>
      <c r="K13" s="280">
        <f t="shared" si="1"/>
        <v>0</v>
      </c>
      <c r="L13" s="280">
        <f t="shared" si="1"/>
        <v>0</v>
      </c>
      <c r="M13" s="280">
        <f t="shared" si="1"/>
        <v>1415.4638359805101</v>
      </c>
      <c r="N13" s="233"/>
      <c r="O13" s="7" t="s">
        <v>41</v>
      </c>
      <c r="P13" s="8">
        <f>(B13*1000)/SUM('Population Figures'!$Z15:$AB15)</f>
        <v>601.78510716021106</v>
      </c>
      <c r="Q13" s="280">
        <f>(C13/SUM('Population Figures'!Z15:AB15))*1000</f>
        <v>15.542237184832803</v>
      </c>
      <c r="R13" s="8">
        <f>(D13/'Population Figures'!Z15)*1000</f>
        <v>0</v>
      </c>
      <c r="S13" s="8">
        <f>(E13/'Population Figures'!Z15)*1000</f>
        <v>347.63879705263986</v>
      </c>
      <c r="T13" s="7">
        <f>(F13/'Population Figures'!AB15)*1000</f>
        <v>1571.6671217488417</v>
      </c>
      <c r="U13" s="8">
        <f>(G13/'Population Figures'!AA15)*1000</f>
        <v>53.147755851980527</v>
      </c>
      <c r="V13" s="8">
        <f>(H13/'Population Figures'!AA15)*1000</f>
        <v>236.52261233558946</v>
      </c>
      <c r="W13" s="8">
        <f>(I13/'Population Figures'!AA15)*1000</f>
        <v>47.183732112908849</v>
      </c>
      <c r="X13" s="185">
        <f>(J13/'Population Figures'!AA15)*1000</f>
        <v>14.947806333369522</v>
      </c>
      <c r="Y13" s="186">
        <f>(K13/'Population Figures'!AA15)*1000</f>
        <v>0</v>
      </c>
      <c r="Z13" s="186">
        <f>(L13/'Population Figures'!AA15)*1000</f>
        <v>0</v>
      </c>
      <c r="AA13" s="186">
        <f>(M13/'Population Figures'!AA15)*1000</f>
        <v>26.234155054777318</v>
      </c>
    </row>
    <row r="14" spans="1:27">
      <c r="A14" s="7" t="s">
        <v>140</v>
      </c>
      <c r="B14" s="425">
        <f t="shared" si="1"/>
        <v>343580.93399987346</v>
      </c>
      <c r="C14" s="280">
        <f t="shared" si="1"/>
        <v>1154.7740935265458</v>
      </c>
      <c r="D14" s="425">
        <f t="shared" si="1"/>
        <v>188.38907169524776</v>
      </c>
      <c r="E14" s="425">
        <f t="shared" si="1"/>
        <v>92039.772195152837</v>
      </c>
      <c r="F14" s="280">
        <f t="shared" si="1"/>
        <v>129966.05644497882</v>
      </c>
      <c r="G14" s="425">
        <f t="shared" si="1"/>
        <v>21930.524583939761</v>
      </c>
      <c r="H14" s="425">
        <f t="shared" si="1"/>
        <v>63348.625735619826</v>
      </c>
      <c r="I14" s="425">
        <f t="shared" si="1"/>
        <v>14436.712807694743</v>
      </c>
      <c r="J14" s="425">
        <f t="shared" si="1"/>
        <v>4323.7837752325513</v>
      </c>
      <c r="K14" s="280">
        <f t="shared" si="1"/>
        <v>1563.1201354173261</v>
      </c>
      <c r="L14" s="280">
        <f t="shared" si="1"/>
        <v>283.09276719610205</v>
      </c>
      <c r="M14" s="280">
        <f t="shared" si="1"/>
        <v>14346.082389419733</v>
      </c>
      <c r="N14" s="233"/>
      <c r="O14" s="7" t="s">
        <v>140</v>
      </c>
      <c r="P14" s="8">
        <f>(B14*1000)/SUM('Population Figures'!$Z16:$AB16)</f>
        <v>718.87880068601385</v>
      </c>
      <c r="Q14" s="280">
        <f>(C14/SUM('Population Figures'!Z16:AB16))*1000</f>
        <v>2.4161486662061051</v>
      </c>
      <c r="R14" s="8">
        <f>(D14/'Population Figures'!Z16)*1000</f>
        <v>2.3098501906012552</v>
      </c>
      <c r="S14" s="8">
        <f>(E14/'Population Figures'!Z16)*1000</f>
        <v>1128.5054033908318</v>
      </c>
      <c r="T14" s="7">
        <f>(F14/'Population Figures'!AB16)*1000</f>
        <v>1888.2181671506439</v>
      </c>
      <c r="U14" s="8">
        <f>(G14/'Population Figures'!AA16)*1000</f>
        <v>66.953007574209096</v>
      </c>
      <c r="V14" s="8">
        <f>(H14/'Population Figures'!AA16)*1000</f>
        <v>193.40080090007305</v>
      </c>
      <c r="W14" s="8">
        <f>(I14/'Population Figures'!AA16)*1000</f>
        <v>44.074702283597802</v>
      </c>
      <c r="X14" s="185">
        <f>(J14/'Population Figures'!AA16)*1000</f>
        <v>13.200337581727888</v>
      </c>
      <c r="Y14" s="186">
        <f>(K14/'Population Figures'!AA16)*1000</f>
        <v>4.7721427668281464</v>
      </c>
      <c r="Z14" s="186">
        <f>(L14/'Population Figures'!AA16)*1000</f>
        <v>0.86427080728223094</v>
      </c>
      <c r="AA14" s="186">
        <f>(M14/'Population Figures'!AA16)*1000</f>
        <v>43.798011269755655</v>
      </c>
    </row>
    <row r="15" spans="1:27">
      <c r="A15" s="7" t="s">
        <v>42</v>
      </c>
      <c r="B15" s="425">
        <f t="shared" si="1"/>
        <v>27470.181611086507</v>
      </c>
      <c r="C15" s="280">
        <f t="shared" si="1"/>
        <v>746.42805163576543</v>
      </c>
      <c r="D15" s="425">
        <f t="shared" si="1"/>
        <v>27.494621274441567</v>
      </c>
      <c r="E15" s="425">
        <f t="shared" si="1"/>
        <v>4216.8602480541676</v>
      </c>
      <c r="F15" s="280">
        <f t="shared" si="1"/>
        <v>16066.023698032021</v>
      </c>
      <c r="G15" s="425">
        <f t="shared" si="1"/>
        <v>1329.9250142378032</v>
      </c>
      <c r="H15" s="425">
        <f t="shared" si="1"/>
        <v>3591.612193887237</v>
      </c>
      <c r="I15" s="425">
        <f t="shared" si="1"/>
        <v>1034.6124153641715</v>
      </c>
      <c r="J15" s="425">
        <f t="shared" si="1"/>
        <v>96.740334113775873</v>
      </c>
      <c r="K15" s="280">
        <f t="shared" si="1"/>
        <v>0</v>
      </c>
      <c r="L15" s="280">
        <f t="shared" si="1"/>
        <v>0</v>
      </c>
      <c r="M15" s="280">
        <f t="shared" si="1"/>
        <v>360.48503448712273</v>
      </c>
      <c r="N15" s="233"/>
      <c r="O15" s="7" t="s">
        <v>42</v>
      </c>
      <c r="P15" s="8">
        <f>(B15*1000)/SUM('Population Figures'!$Z17:$AB17)</f>
        <v>992.0614521880284</v>
      </c>
      <c r="Q15" s="280">
        <f>(C15/SUM('Population Figures'!Z17:AB17))*1000</f>
        <v>26.956592691793624</v>
      </c>
      <c r="R15" s="8">
        <f>(D15/'Population Figures'!Z17)*1000</f>
        <v>5.1584655299139905</v>
      </c>
      <c r="S15" s="8">
        <f>(E15/'Population Figures'!Z17)*1000</f>
        <v>791.1557688656975</v>
      </c>
      <c r="T15" s="7">
        <f>(F15/'Population Figures'!AB17)*1000</f>
        <v>2668.3314562418236</v>
      </c>
      <c r="U15" s="8">
        <f>(G15/'Population Figures'!AA17)*1000</f>
        <v>81.395741124781395</v>
      </c>
      <c r="V15" s="8">
        <f>(H15/'Population Figures'!AA17)*1000</f>
        <v>219.81836060268299</v>
      </c>
      <c r="W15" s="8">
        <f>(I15/'Population Figures'!AA17)*1000</f>
        <v>63.321648531989197</v>
      </c>
      <c r="X15" s="185">
        <f>(J15/'Population Figures'!AA17)*1000</f>
        <v>5.9208234355698561</v>
      </c>
      <c r="Y15" s="186">
        <f>(K15/'Population Figures'!AA17)*1000</f>
        <v>0</v>
      </c>
      <c r="Z15" s="186">
        <f>(L15/'Population Figures'!AA17)*1000</f>
        <v>0</v>
      </c>
      <c r="AA15" s="186">
        <f>(M15/'Population Figures'!AA17)*1000</f>
        <v>22.062857854649781</v>
      </c>
    </row>
    <row r="16" spans="1:27">
      <c r="A16" s="7" t="s">
        <v>43</v>
      </c>
      <c r="B16" s="425">
        <f t="shared" si="1"/>
        <v>103928.65009808265</v>
      </c>
      <c r="C16" s="280">
        <f t="shared" si="1"/>
        <v>574.33208884389046</v>
      </c>
      <c r="D16" s="425">
        <f t="shared" si="1"/>
        <v>86.557141049167896</v>
      </c>
      <c r="E16" s="425">
        <f t="shared" si="1"/>
        <v>23678.978833132951</v>
      </c>
      <c r="F16" s="280">
        <f t="shared" si="1"/>
        <v>48397.661678162382</v>
      </c>
      <c r="G16" s="425">
        <f t="shared" si="1"/>
        <v>7128.2351452255907</v>
      </c>
      <c r="H16" s="425">
        <f t="shared" si="1"/>
        <v>15387.82303992913</v>
      </c>
      <c r="I16" s="425">
        <f t="shared" si="1"/>
        <v>4700.5619186230469</v>
      </c>
      <c r="J16" s="425">
        <f t="shared" si="1"/>
        <v>398.16284882617231</v>
      </c>
      <c r="K16" s="280">
        <f t="shared" si="1"/>
        <v>0</v>
      </c>
      <c r="L16" s="280">
        <f t="shared" si="1"/>
        <v>0</v>
      </c>
      <c r="M16" s="280">
        <f t="shared" si="1"/>
        <v>3576.3374042903251</v>
      </c>
      <c r="N16" s="233"/>
      <c r="O16" s="7" t="s">
        <v>43</v>
      </c>
      <c r="P16" s="8">
        <f>(B16*1000)/SUM('Population Figures'!$Z18:$AB18)</f>
        <v>665.14336062772895</v>
      </c>
      <c r="Q16" s="280">
        <f>(C16/SUM('Population Figures'!Z18:AB18))*1000</f>
        <v>3.675725368600899</v>
      </c>
      <c r="R16" s="8">
        <f>(D16/'Population Figures'!Z18)*1000</f>
        <v>2.6940502676450526</v>
      </c>
      <c r="S16" s="8">
        <f>(E16/'Population Figures'!Z18)*1000</f>
        <v>736.99706910059297</v>
      </c>
      <c r="T16" s="7">
        <f>(F16/'Population Figures'!AB18)*1000</f>
        <v>1899.6609364588601</v>
      </c>
      <c r="U16" s="8">
        <f>(G16/'Population Figures'!AA18)*1000</f>
        <v>72.26222725381767</v>
      </c>
      <c r="V16" s="8">
        <f>(H16/'Population Figures'!AA18)*1000</f>
        <v>155.99350229034843</v>
      </c>
      <c r="W16" s="8">
        <f>(I16/'Population Figures'!AA18)*1000</f>
        <v>47.651777286231777</v>
      </c>
      <c r="X16" s="185">
        <f>(J16/'Population Figures'!AA18)*1000</f>
        <v>4.036361550891816</v>
      </c>
      <c r="Y16" s="186">
        <f>(K16/'Population Figures'!AA18)*1000</f>
        <v>0</v>
      </c>
      <c r="Z16" s="186">
        <f>(L16/'Population Figures'!AA18)*1000</f>
        <v>0</v>
      </c>
      <c r="AA16" s="186">
        <f>(M16/'Population Figures'!AA18)*1000</f>
        <v>36.254991730772524</v>
      </c>
    </row>
    <row r="17" spans="1:27">
      <c r="A17" s="7" t="s">
        <v>44</v>
      </c>
      <c r="B17" s="425">
        <f t="shared" si="1"/>
        <v>245056.50446117829</v>
      </c>
      <c r="C17" s="280">
        <f t="shared" si="1"/>
        <v>1103.8581282035059</v>
      </c>
      <c r="D17" s="425">
        <f t="shared" si="1"/>
        <v>229.1218439536797</v>
      </c>
      <c r="E17" s="425">
        <f t="shared" si="1"/>
        <v>43052.50363854965</v>
      </c>
      <c r="F17" s="280">
        <f t="shared" si="1"/>
        <v>105532.50300575841</v>
      </c>
      <c r="G17" s="425">
        <f t="shared" si="1"/>
        <v>20628.094190976401</v>
      </c>
      <c r="H17" s="425">
        <f t="shared" si="1"/>
        <v>56001.451939505161</v>
      </c>
      <c r="I17" s="425">
        <f t="shared" si="1"/>
        <v>10443.882807061951</v>
      </c>
      <c r="J17" s="425">
        <f t="shared" si="1"/>
        <v>1135.4260267037905</v>
      </c>
      <c r="K17" s="280">
        <f t="shared" si="1"/>
        <v>168.02268556603178</v>
      </c>
      <c r="L17" s="280">
        <f t="shared" si="1"/>
        <v>0</v>
      </c>
      <c r="M17" s="280">
        <f t="shared" si="1"/>
        <v>6761.6401948997036</v>
      </c>
      <c r="N17" s="233"/>
      <c r="O17" s="7" t="s">
        <v>44</v>
      </c>
      <c r="P17" s="8">
        <f>(B17*1000)/SUM('Population Figures'!$Z19:$AB19)</f>
        <v>670.83631114475304</v>
      </c>
      <c r="Q17" s="280">
        <f>(C17/SUM('Population Figures'!Z19:AB19))*1000</f>
        <v>3.0217851853367255</v>
      </c>
      <c r="R17" s="8">
        <f>(D17/'Population Figures'!Z19)*1000</f>
        <v>3.1267053856313503</v>
      </c>
      <c r="S17" s="8">
        <f>(E17/'Population Figures'!Z19)*1000</f>
        <v>587.51489019432097</v>
      </c>
      <c r="T17" s="7">
        <f>(F17/'Population Figures'!AB19)*1000</f>
        <v>1633.7059461857116</v>
      </c>
      <c r="U17" s="8">
        <f>(G17/'Population Figures'!AA19)*1000</f>
        <v>90.703242362179907</v>
      </c>
      <c r="V17" s="8">
        <f>(H17/'Population Figures'!AA19)*1000</f>
        <v>246.24248953278968</v>
      </c>
      <c r="W17" s="8">
        <f>(I17/'Population Figures'!AA19)*1000</f>
        <v>45.922518322876883</v>
      </c>
      <c r="X17" s="185">
        <f>(J17/'Population Figures'!AA19)*1000</f>
        <v>4.9925514752347615</v>
      </c>
      <c r="Y17" s="186">
        <f>(K17/'Population Figures'!AA19)*1000</f>
        <v>0.7388080658419155</v>
      </c>
      <c r="Z17" s="186">
        <f>(L17/'Population Figures'!AA19)*1000</f>
        <v>0</v>
      </c>
      <c r="AA17" s="186">
        <f>(M17/'Population Figures'!AA19)*1000</f>
        <v>29.731427619335264</v>
      </c>
    </row>
    <row r="18" spans="1:27">
      <c r="A18" s="7" t="s">
        <v>45</v>
      </c>
      <c r="B18" s="425">
        <f t="shared" si="1"/>
        <v>545613.44776308304</v>
      </c>
      <c r="C18" s="280">
        <f t="shared" si="1"/>
        <v>593.68015566664565</v>
      </c>
      <c r="D18" s="425">
        <f t="shared" si="1"/>
        <v>367.61326963234836</v>
      </c>
      <c r="E18" s="425">
        <f t="shared" si="1"/>
        <v>146960.78735050309</v>
      </c>
      <c r="F18" s="280">
        <f t="shared" si="1"/>
        <v>225513.93865088909</v>
      </c>
      <c r="G18" s="425">
        <f t="shared" si="1"/>
        <v>31742.031101689558</v>
      </c>
      <c r="H18" s="425">
        <f t="shared" si="1"/>
        <v>73631.614092260977</v>
      </c>
      <c r="I18" s="425">
        <f t="shared" si="1"/>
        <v>24203.413275960265</v>
      </c>
      <c r="J18" s="425">
        <f t="shared" si="1"/>
        <v>23855.148073150671</v>
      </c>
      <c r="K18" s="280">
        <f t="shared" si="1"/>
        <v>12.219831677529584</v>
      </c>
      <c r="L18" s="280">
        <f t="shared" si="1"/>
        <v>100.81361133961907</v>
      </c>
      <c r="M18" s="280">
        <f t="shared" si="1"/>
        <v>18632.188350313234</v>
      </c>
      <c r="N18" s="233"/>
      <c r="O18" s="7" t="s">
        <v>45</v>
      </c>
      <c r="P18" s="8">
        <f>(B18*1000)/SUM('Population Figures'!$Z20:$AB20)</f>
        <v>919.9970454306191</v>
      </c>
      <c r="Q18" s="280">
        <f>(C18/SUM('Population Figures'!Z20:AB20))*1000</f>
        <v>1.0010456879011325</v>
      </c>
      <c r="R18" s="8">
        <f>(D18/'Population Figures'!Z20)*1000</f>
        <v>3.3914853323770755</v>
      </c>
      <c r="S18" s="8">
        <f>(E18/'Population Figures'!Z20)*1000</f>
        <v>1355.8143731652699</v>
      </c>
      <c r="T18" s="7">
        <f>(F18/'Population Figures'!AB20)*1000</f>
        <v>2741.7774695856474</v>
      </c>
      <c r="U18" s="8">
        <f>(G18/'Population Figures'!AA20)*1000</f>
        <v>78.8786507039719</v>
      </c>
      <c r="V18" s="8">
        <f>(H18/'Population Figures'!AA20)*1000</f>
        <v>182.97387303750588</v>
      </c>
      <c r="W18" s="8">
        <f>(I18/'Population Figures'!AA20)*1000</f>
        <v>60.145255844599284</v>
      </c>
      <c r="X18" s="185">
        <f>(J18/'Population Figures'!AA20)*1000</f>
        <v>59.279820069655962</v>
      </c>
      <c r="Y18" s="186">
        <f>(K18/'Population Figures'!AA20)*1000</f>
        <v>3.0366167541871058E-2</v>
      </c>
      <c r="Z18" s="186">
        <f>(L18/'Population Figures'!AA20)*1000</f>
        <v>0.25052088222043623</v>
      </c>
      <c r="AA18" s="186">
        <f>(M18/'Population Figures'!AA20)*1000</f>
        <v>46.300813959467895</v>
      </c>
    </row>
    <row r="19" spans="1:27">
      <c r="A19" s="7" t="s">
        <v>46</v>
      </c>
      <c r="B19" s="425">
        <f t="shared" si="1"/>
        <v>146450.60937796623</v>
      </c>
      <c r="C19" s="280">
        <f t="shared" si="1"/>
        <v>480.64671264949698</v>
      </c>
      <c r="D19" s="425">
        <f t="shared" si="1"/>
        <v>91.648737581471877</v>
      </c>
      <c r="E19" s="425">
        <f t="shared" si="1"/>
        <v>34102.495254065689</v>
      </c>
      <c r="F19" s="280">
        <f t="shared" si="1"/>
        <v>66950.421122571672</v>
      </c>
      <c r="G19" s="425">
        <f t="shared" si="1"/>
        <v>8500.929570334747</v>
      </c>
      <c r="H19" s="425">
        <f t="shared" si="1"/>
        <v>26934.545655888127</v>
      </c>
      <c r="I19" s="425">
        <f t="shared" si="1"/>
        <v>5332.9382079352026</v>
      </c>
      <c r="J19" s="425">
        <f t="shared" si="1"/>
        <v>577.38704676327291</v>
      </c>
      <c r="K19" s="280">
        <f t="shared" si="1"/>
        <v>0</v>
      </c>
      <c r="L19" s="280">
        <f t="shared" si="1"/>
        <v>0</v>
      </c>
      <c r="M19" s="280">
        <f t="shared" si="1"/>
        <v>3479.5970701765491</v>
      </c>
      <c r="N19" s="233"/>
      <c r="O19" s="7" t="s">
        <v>46</v>
      </c>
      <c r="P19" s="8">
        <f>(B19*1000)/SUM('Population Figures'!$Z21:$AB21)</f>
        <v>629.27258788280938</v>
      </c>
      <c r="Q19" s="280">
        <f>(C19/SUM('Population Figures'!Z21:AB21))*1000</f>
        <v>2.0652546412129804</v>
      </c>
      <c r="R19" s="8">
        <f>(D19/'Population Figures'!Z21)*1000</f>
        <v>1.9443881952152726</v>
      </c>
      <c r="S19" s="8">
        <f>(E19/'Population Figures'!Z21)*1000</f>
        <v>723.50684743960301</v>
      </c>
      <c r="T19" s="7">
        <f>(F19/'Population Figures'!AB21)*1000</f>
        <v>1541.7838320415362</v>
      </c>
      <c r="U19" s="8">
        <f>(G19/'Population Figures'!AA21)*1000</f>
        <v>59.793696114782534</v>
      </c>
      <c r="V19" s="8">
        <f>(H19/'Population Figures'!AA21)*1000</f>
        <v>189.45175637709607</v>
      </c>
      <c r="W19" s="8">
        <f>(I19/'Population Figures'!AA21)*1000</f>
        <v>37.510731498935804</v>
      </c>
      <c r="X19" s="185">
        <f>(J19/'Population Figures'!AA21)*1000</f>
        <v>4.0612153446432311</v>
      </c>
      <c r="Y19" s="186">
        <f>(K19/'Population Figures'!AA21)*1000</f>
        <v>0</v>
      </c>
      <c r="Z19" s="186">
        <f>(L19/'Population Figures'!AA21)*1000</f>
        <v>0</v>
      </c>
      <c r="AA19" s="186">
        <f>(M19/'Population Figures'!AA21)*1000</f>
        <v>24.474731627241486</v>
      </c>
    </row>
    <row r="20" spans="1:27">
      <c r="A20" s="7" t="s">
        <v>47</v>
      </c>
      <c r="B20" s="425">
        <f t="shared" si="1"/>
        <v>64205.032272353361</v>
      </c>
      <c r="C20" s="280">
        <f t="shared" si="1"/>
        <v>2855.3673353160798</v>
      </c>
      <c r="D20" s="425">
        <f t="shared" si="1"/>
        <v>14.256470290451182</v>
      </c>
      <c r="E20" s="425">
        <f t="shared" si="1"/>
        <v>12181.135543884075</v>
      </c>
      <c r="F20" s="280">
        <f t="shared" si="1"/>
        <v>29694.190976396891</v>
      </c>
      <c r="G20" s="425">
        <f t="shared" si="1"/>
        <v>3320.7392583686647</v>
      </c>
      <c r="H20" s="425">
        <f t="shared" si="1"/>
        <v>8801.3337657406828</v>
      </c>
      <c r="I20" s="425">
        <f t="shared" si="1"/>
        <v>3067.1777510599259</v>
      </c>
      <c r="J20" s="425">
        <f t="shared" si="1"/>
        <v>2238.2658356008355</v>
      </c>
      <c r="K20" s="280">
        <f t="shared" si="1"/>
        <v>0</v>
      </c>
      <c r="L20" s="280">
        <f t="shared" si="1"/>
        <v>0</v>
      </c>
      <c r="M20" s="280">
        <f t="shared" si="1"/>
        <v>2032.5653356957541</v>
      </c>
      <c r="N20" s="233"/>
      <c r="O20" s="7" t="s">
        <v>47</v>
      </c>
      <c r="P20" s="8">
        <f>(B20*1000)/SUM('Population Figures'!$Z22:$AB22)</f>
        <v>790.50766156554243</v>
      </c>
      <c r="Q20" s="280">
        <f>(C20/SUM('Population Figures'!Z22:AB22))*1000</f>
        <v>35.155963251860129</v>
      </c>
      <c r="R20" s="8">
        <f>(D20/'Population Figures'!Z22)*1000</f>
        <v>0.91037485890492853</v>
      </c>
      <c r="S20" s="8">
        <f>(E20/'Population Figures'!Z22)*1000</f>
        <v>777.85029015862551</v>
      </c>
      <c r="T20" s="7">
        <f>(F20/'Population Figures'!AB22)*1000</f>
        <v>2001.3608530293786</v>
      </c>
      <c r="U20" s="8">
        <f>(G20/'Population Figures'!AA22)*1000</f>
        <v>65.46811620701979</v>
      </c>
      <c r="V20" s="8">
        <f>(H20/'Population Figures'!AA22)*1000</f>
        <v>173.5176106646035</v>
      </c>
      <c r="W20" s="8">
        <f>(I20/'Population Figures'!AA22)*1000</f>
        <v>60.469170811267588</v>
      </c>
      <c r="X20" s="185">
        <f>(J20/'Population Figures'!AA22)*1000</f>
        <v>44.127236866921038</v>
      </c>
      <c r="Y20" s="186">
        <f>(K20/'Population Figures'!AA22)*1000</f>
        <v>0</v>
      </c>
      <c r="Z20" s="186">
        <f>(L20/'Population Figures'!AA22)*1000</f>
        <v>0</v>
      </c>
      <c r="AA20" s="186">
        <f>(M20/'Population Figures'!AA22)*1000</f>
        <v>40.07186750972447</v>
      </c>
    </row>
    <row r="21" spans="1:27">
      <c r="A21" s="7" t="s">
        <v>48</v>
      </c>
      <c r="B21" s="425">
        <f t="shared" si="1"/>
        <v>59198.974561792071</v>
      </c>
      <c r="C21" s="280">
        <f t="shared" si="1"/>
        <v>1228.0930835917231</v>
      </c>
      <c r="D21" s="425">
        <f t="shared" si="1"/>
        <v>101.83193064607987</v>
      </c>
      <c r="E21" s="425">
        <f t="shared" si="1"/>
        <v>16611.842846295011</v>
      </c>
      <c r="F21" s="280">
        <f t="shared" si="1"/>
        <v>22954.953806239326</v>
      </c>
      <c r="G21" s="425">
        <f t="shared" si="1"/>
        <v>3581.429000822629</v>
      </c>
      <c r="H21" s="425">
        <f t="shared" si="1"/>
        <v>11016.178257292921</v>
      </c>
      <c r="I21" s="425">
        <f t="shared" si="1"/>
        <v>2007.1073530342342</v>
      </c>
      <c r="J21" s="425">
        <f t="shared" si="1"/>
        <v>714.86015313548069</v>
      </c>
      <c r="K21" s="280">
        <f t="shared" si="1"/>
        <v>2.0366386129215974</v>
      </c>
      <c r="L21" s="280">
        <f t="shared" si="1"/>
        <v>0</v>
      </c>
      <c r="M21" s="280">
        <f t="shared" si="1"/>
        <v>980.64149212174914</v>
      </c>
      <c r="N21" s="233"/>
      <c r="O21" s="7" t="s">
        <v>48</v>
      </c>
      <c r="P21" s="8">
        <f>(B21*1000)/SUM('Population Figures'!$Z23:$AB23)</f>
        <v>709.39454238216979</v>
      </c>
      <c r="Q21" s="280">
        <f>(C21/SUM('Population Figures'!Z23:AB23))*1000</f>
        <v>14.716513883663549</v>
      </c>
      <c r="R21" s="8">
        <f>(D21/'Population Figures'!Z23)*1000</f>
        <v>5.7292635673500545</v>
      </c>
      <c r="S21" s="8">
        <f>(E21/'Population Figures'!Z23)*1000</f>
        <v>934.61476574181449</v>
      </c>
      <c r="T21" s="7">
        <f>(F21/'Population Figures'!AB23)*1000</f>
        <v>1631.0184600141627</v>
      </c>
      <c r="U21" s="8">
        <f>(G21/'Population Figures'!AA23)*1000</f>
        <v>69.404848665218964</v>
      </c>
      <c r="V21" s="8">
        <f>(H21/'Population Figures'!AA23)*1000</f>
        <v>213.48355213543897</v>
      </c>
      <c r="W21" s="8">
        <f>(I21/'Population Figures'!AA23)*1000</f>
        <v>38.895921728503431</v>
      </c>
      <c r="X21" s="185">
        <f>(J21/'Population Figures'!AA23)*1000</f>
        <v>13.853341985494373</v>
      </c>
      <c r="Y21" s="186">
        <f>(K21/'Population Figures'!AA23)*1000</f>
        <v>3.9468210784884258E-2</v>
      </c>
      <c r="Z21" s="186">
        <f>(L21/'Population Figures'!AA23)*1000</f>
        <v>0</v>
      </c>
      <c r="AA21" s="186">
        <f>(M21/'Population Figures'!AA23)*1000</f>
        <v>19.003943492921767</v>
      </c>
    </row>
    <row r="22" spans="1:27">
      <c r="A22" s="7" t="s">
        <v>49</v>
      </c>
      <c r="B22" s="425">
        <f t="shared" si="1"/>
        <v>59380.235398342098</v>
      </c>
      <c r="C22" s="280">
        <f t="shared" si="1"/>
        <v>529.52603935961531</v>
      </c>
      <c r="D22" s="425">
        <f t="shared" si="1"/>
        <v>47.861007403657538</v>
      </c>
      <c r="E22" s="425">
        <f t="shared" si="1"/>
        <v>13953.011137125864</v>
      </c>
      <c r="F22" s="280">
        <f t="shared" si="1"/>
        <v>27328.635227488456</v>
      </c>
      <c r="G22" s="425">
        <f t="shared" si="1"/>
        <v>3584.4839587420115</v>
      </c>
      <c r="H22" s="425">
        <f t="shared" si="1"/>
        <v>10689.297759919004</v>
      </c>
      <c r="I22" s="425">
        <f t="shared" si="1"/>
        <v>1423.6103904321967</v>
      </c>
      <c r="J22" s="425">
        <f t="shared" si="1"/>
        <v>923.61561095994443</v>
      </c>
      <c r="K22" s="280">
        <f t="shared" si="1"/>
        <v>0</v>
      </c>
      <c r="L22" s="280">
        <f t="shared" si="1"/>
        <v>0</v>
      </c>
      <c r="M22" s="280">
        <f t="shared" si="1"/>
        <v>900.19426691134606</v>
      </c>
      <c r="N22" s="233"/>
      <c r="O22" s="7" t="s">
        <v>49</v>
      </c>
      <c r="P22" s="8">
        <f>(B22*1000)/SUM('Population Figures'!$Z24:$AB24)</f>
        <v>635.28656679514381</v>
      </c>
      <c r="Q22" s="280">
        <f>(C22/SUM('Population Figures'!Z24:AB24))*1000</f>
        <v>5.6651978106303122</v>
      </c>
      <c r="R22" s="8">
        <f>(D22/'Population Figures'!Z24)*1000</f>
        <v>2.4580662217481146</v>
      </c>
      <c r="S22" s="8">
        <f>(E22/'Population Figures'!Z24)*1000</f>
        <v>716.60475256154609</v>
      </c>
      <c r="T22" s="7">
        <f>(F22/'Population Figures'!AB24)*1000</f>
        <v>1573.3238472935207</v>
      </c>
      <c r="U22" s="8">
        <f>(G22/'Population Figures'!AA24)*1000</f>
        <v>63.297673607904279</v>
      </c>
      <c r="V22" s="8">
        <f>(H22/'Population Figures'!AA24)*1000</f>
        <v>188.76013632448047</v>
      </c>
      <c r="W22" s="8">
        <f>(I22/'Population Figures'!AA24)*1000</f>
        <v>25.139246506775621</v>
      </c>
      <c r="X22" s="185">
        <f>(J22/'Population Figures'!AA24)*1000</f>
        <v>16.309940330218517</v>
      </c>
      <c r="Y22" s="186">
        <f>(K22/'Population Figures'!AA24)*1000</f>
        <v>0</v>
      </c>
      <c r="Z22" s="186">
        <f>(L22/'Population Figures'!AA24)*1000</f>
        <v>0</v>
      </c>
      <c r="AA22" s="186">
        <f>(M22/'Population Figures'!AA24)*1000</f>
        <v>15.896347576530506</v>
      </c>
    </row>
    <row r="23" spans="1:27">
      <c r="A23" s="7" t="s">
        <v>50</v>
      </c>
      <c r="B23" s="425">
        <f t="shared" si="1"/>
        <v>108408.23672720371</v>
      </c>
      <c r="C23" s="280">
        <f t="shared" si="1"/>
        <v>1007.11779408973</v>
      </c>
      <c r="D23" s="425">
        <f t="shared" si="1"/>
        <v>116.08840093653106</v>
      </c>
      <c r="E23" s="425">
        <f t="shared" si="1"/>
        <v>23953.925045877368</v>
      </c>
      <c r="F23" s="280">
        <f t="shared" si="1"/>
        <v>52027.970005695126</v>
      </c>
      <c r="G23" s="425">
        <f t="shared" si="1"/>
        <v>5483.6494652914007</v>
      </c>
      <c r="H23" s="425">
        <f t="shared" si="1"/>
        <v>16087.408403467698</v>
      </c>
      <c r="I23" s="425">
        <f t="shared" si="1"/>
        <v>3457.1940454344117</v>
      </c>
      <c r="J23" s="425">
        <f t="shared" si="1"/>
        <v>1948.0448332595079</v>
      </c>
      <c r="K23" s="280">
        <f t="shared" si="1"/>
        <v>0</v>
      </c>
      <c r="L23" s="280">
        <f t="shared" si="1"/>
        <v>0</v>
      </c>
      <c r="M23" s="280">
        <f t="shared" si="1"/>
        <v>4326.8387331519334</v>
      </c>
      <c r="N23" s="233"/>
      <c r="O23" s="7" t="s">
        <v>50</v>
      </c>
      <c r="P23" s="8">
        <f>(B23*1000)/SUM('Population Figures'!$Z25:$AB25)</f>
        <v>785.05494045335445</v>
      </c>
      <c r="Q23" s="280">
        <f>(C23/SUM('Population Figures'!Z25:AB25))*1000</f>
        <v>7.293198595768918</v>
      </c>
      <c r="R23" s="8">
        <f>(D23/'Population Figures'!Z25)*1000</f>
        <v>4.1340550883704665</v>
      </c>
      <c r="S23" s="8">
        <f>(E23/'Population Figures'!Z25)*1000</f>
        <v>853.02963020823222</v>
      </c>
      <c r="T23" s="7">
        <f>(F23/'Population Figures'!AB25)*1000</f>
        <v>1996.5451477683382</v>
      </c>
      <c r="U23" s="8">
        <f>(G23/'Population Figures'!AA25)*1000</f>
        <v>65.320422457312688</v>
      </c>
      <c r="V23" s="8">
        <f>(H23/'Population Figures'!AA25)*1000</f>
        <v>191.63083267978197</v>
      </c>
      <c r="W23" s="8">
        <f>(I23/'Population Figures'!AA25)*1000</f>
        <v>41.181584817562978</v>
      </c>
      <c r="X23" s="185">
        <f>(J23/'Population Figures'!AA25)*1000</f>
        <v>23.204822313990562</v>
      </c>
      <c r="Y23" s="186">
        <f>(K23/'Population Figures'!AA25)*1000</f>
        <v>0</v>
      </c>
      <c r="Z23" s="186">
        <f>(L23/'Population Figures'!AA25)*1000</f>
        <v>0</v>
      </c>
      <c r="AA23" s="186">
        <f>(M23/'Population Figures'!AA25)*1000</f>
        <v>51.540663885073656</v>
      </c>
    </row>
    <row r="24" spans="1:27">
      <c r="A24" s="7" t="s">
        <v>51</v>
      </c>
      <c r="B24" s="425">
        <f t="shared" si="1"/>
        <v>189320.83386065939</v>
      </c>
      <c r="C24" s="280">
        <f t="shared" si="1"/>
        <v>937.87208125039558</v>
      </c>
      <c r="D24" s="425">
        <f t="shared" si="1"/>
        <v>52.952603935961534</v>
      </c>
      <c r="E24" s="425">
        <f t="shared" si="1"/>
        <v>27560.812029361517</v>
      </c>
      <c r="F24" s="280">
        <f t="shared" ref="C24:M35" si="2">F66*$J$39</f>
        <v>88123.316142504598</v>
      </c>
      <c r="G24" s="425">
        <f t="shared" si="2"/>
        <v>4995.8745174966789</v>
      </c>
      <c r="H24" s="425">
        <f t="shared" si="2"/>
        <v>48677.699487439102</v>
      </c>
      <c r="I24" s="425">
        <f t="shared" si="2"/>
        <v>10085.434411187751</v>
      </c>
      <c r="J24" s="425">
        <f t="shared" si="2"/>
        <v>1905.2754223881543</v>
      </c>
      <c r="K24" s="280">
        <f t="shared" si="2"/>
        <v>0</v>
      </c>
      <c r="L24" s="280">
        <f t="shared" si="2"/>
        <v>39.714452951971147</v>
      </c>
      <c r="M24" s="280">
        <f t="shared" si="2"/>
        <v>6941.8827121432651</v>
      </c>
      <c r="N24" s="233"/>
      <c r="O24" s="7" t="s">
        <v>51</v>
      </c>
      <c r="P24" s="8">
        <f>(B24*1000)/SUM('Population Figures'!$Z26:$AB26)</f>
        <v>560.58520034543233</v>
      </c>
      <c r="Q24" s="280">
        <f>(C24/SUM('Population Figures'!Z26:AB26))*1000</f>
        <v>2.777070002518049</v>
      </c>
      <c r="R24" s="8">
        <f>(D24/'Population Figures'!Z26)*1000</f>
        <v>0.72402925968006904</v>
      </c>
      <c r="S24" s="8">
        <f>(E24/'Population Figures'!Z26)*1000</f>
        <v>376.84330602386672</v>
      </c>
      <c r="T24" s="7">
        <f>(F24/'Population Figures'!AB26)*1000</f>
        <v>1736.3858080137259</v>
      </c>
      <c r="U24" s="8">
        <f>(G24/'Population Figures'!AA26)*1000</f>
        <v>23.363440243071363</v>
      </c>
      <c r="V24" s="8">
        <f>(H24/'Population Figures'!AA26)*1000</f>
        <v>227.64353251106752</v>
      </c>
      <c r="W24" s="8">
        <f>(I24/'Population Figures'!AA26)*1000</f>
        <v>47.165004518422094</v>
      </c>
      <c r="X24" s="185">
        <f>(J24/'Population Figures'!AA26)*1000</f>
        <v>8.9101093955944801</v>
      </c>
      <c r="Y24" s="186">
        <f>(K24/'Population Figures'!AA26)*1000</f>
        <v>0</v>
      </c>
      <c r="Z24" s="186">
        <f>(L24/'Population Figures'!AA26)*1000</f>
        <v>0.18572649194451346</v>
      </c>
      <c r="AA24" s="186">
        <f>(M24/'Population Figures'!AA26)*1000</f>
        <v>32.464038348352524</v>
      </c>
    </row>
    <row r="25" spans="1:27">
      <c r="A25" s="7" t="s">
        <v>52</v>
      </c>
      <c r="B25" s="425">
        <f t="shared" si="1"/>
        <v>21419.328292096441</v>
      </c>
      <c r="C25" s="280">
        <f t="shared" si="2"/>
        <v>704.67696007087272</v>
      </c>
      <c r="D25" s="425">
        <f t="shared" si="2"/>
        <v>33.604537113206355</v>
      </c>
      <c r="E25" s="425">
        <f t="shared" si="2"/>
        <v>3120.130354995887</v>
      </c>
      <c r="F25" s="280">
        <f t="shared" si="2"/>
        <v>12411.275707144214</v>
      </c>
      <c r="G25" s="425">
        <f t="shared" si="2"/>
        <v>1492.8561032715309</v>
      </c>
      <c r="H25" s="425">
        <f t="shared" si="2"/>
        <v>2667.9965829272928</v>
      </c>
      <c r="I25" s="425">
        <f t="shared" si="2"/>
        <v>562.11225716636091</v>
      </c>
      <c r="J25" s="425">
        <f t="shared" si="2"/>
        <v>49.897646016579138</v>
      </c>
      <c r="K25" s="280">
        <f t="shared" si="2"/>
        <v>0</v>
      </c>
      <c r="L25" s="280">
        <f t="shared" si="2"/>
        <v>0</v>
      </c>
      <c r="M25" s="280">
        <f t="shared" si="2"/>
        <v>376.77814339049553</v>
      </c>
      <c r="N25" s="233"/>
      <c r="O25" s="7" t="s">
        <v>52</v>
      </c>
      <c r="P25" s="8">
        <f>(B25*1000)/SUM('Population Figures'!$Z27:$AB27)</f>
        <v>999.96864108760224</v>
      </c>
      <c r="Q25" s="280">
        <f>(C25/SUM('Population Figures'!Z27:AB27))*1000</f>
        <v>32.898084036922164</v>
      </c>
      <c r="R25" s="8">
        <f>(D25/'Population Figures'!Z27)*1000</f>
        <v>8.0663795278939876</v>
      </c>
      <c r="S25" s="8">
        <f>(E25/'Population Figures'!Z27)*1000</f>
        <v>748.95111737779325</v>
      </c>
      <c r="T25" s="7">
        <f>(F25/'Population Figures'!AB27)*1000</f>
        <v>2907.3028126362647</v>
      </c>
      <c r="U25" s="8">
        <f>(G25/'Population Figures'!AA27)*1000</f>
        <v>114.96773995160036</v>
      </c>
      <c r="V25" s="8">
        <f>(H25/'Population Figures'!AA27)*1000</f>
        <v>205.4675843609775</v>
      </c>
      <c r="W25" s="8">
        <f>(I25/'Population Figures'!AA27)*1000</f>
        <v>43.289353651625788</v>
      </c>
      <c r="X25" s="185">
        <f>(J25/'Population Figures'!AA27)*1000</f>
        <v>3.8427143640030139</v>
      </c>
      <c r="Y25" s="186">
        <f>(K25/'Population Figures'!AA27)*1000</f>
        <v>0</v>
      </c>
      <c r="Z25" s="186">
        <f>(L25/'Population Figures'!AA27)*1000</f>
        <v>0</v>
      </c>
      <c r="AA25" s="186">
        <f>(M25/'Population Figures'!AA27)*1000</f>
        <v>29.016414585328885</v>
      </c>
    </row>
    <row r="26" spans="1:27">
      <c r="A26" s="7" t="s">
        <v>53</v>
      </c>
      <c r="B26" s="425">
        <f t="shared" si="1"/>
        <v>88849.377808011152</v>
      </c>
      <c r="C26" s="280">
        <f t="shared" si="2"/>
        <v>549.89242548883135</v>
      </c>
      <c r="D26" s="425">
        <f t="shared" si="2"/>
        <v>0</v>
      </c>
      <c r="E26" s="425">
        <f t="shared" si="2"/>
        <v>17015.097291653485</v>
      </c>
      <c r="F26" s="280">
        <f t="shared" si="2"/>
        <v>44652.283268999563</v>
      </c>
      <c r="G26" s="425">
        <f t="shared" si="2"/>
        <v>3570.2274884515605</v>
      </c>
      <c r="H26" s="425">
        <f t="shared" si="2"/>
        <v>14793.124564956022</v>
      </c>
      <c r="I26" s="425">
        <f t="shared" si="2"/>
        <v>4216.8602480541676</v>
      </c>
      <c r="J26" s="425">
        <f t="shared" si="2"/>
        <v>1268.8258558501552</v>
      </c>
      <c r="K26" s="280">
        <f t="shared" si="2"/>
        <v>0</v>
      </c>
      <c r="L26" s="280">
        <f t="shared" si="2"/>
        <v>0</v>
      </c>
      <c r="M26" s="280">
        <f t="shared" si="2"/>
        <v>2783.0666645573629</v>
      </c>
      <c r="N26" s="233"/>
      <c r="O26" s="7" t="s">
        <v>53</v>
      </c>
      <c r="P26" s="8">
        <f>(B26*1000)/SUM('Population Figures'!$Z28:$AB28)</f>
        <v>605.03491867899993</v>
      </c>
      <c r="Q26" s="280">
        <f>(C26/SUM('Population Figures'!Z28:AB28))*1000</f>
        <v>3.7445858051673908</v>
      </c>
      <c r="R26" s="8">
        <f>(D26/'Population Figures'!Z28)*1000</f>
        <v>0</v>
      </c>
      <c r="S26" s="8">
        <f>(E26/'Population Figures'!Z28)*1000</f>
        <v>591.89123357753806</v>
      </c>
      <c r="T26" s="7">
        <f>(F26/'Population Figures'!AB28)*1000</f>
        <v>1496.3901899798782</v>
      </c>
      <c r="U26" s="8">
        <f>(G26/'Population Figures'!AA28)*1000</f>
        <v>40.44987694109151</v>
      </c>
      <c r="V26" s="8">
        <f>(H26/'Population Figures'!AA28)*1000</f>
        <v>167.60278446184722</v>
      </c>
      <c r="W26" s="8">
        <f>(I26/'Population Figures'!AA28)*1000</f>
        <v>47.776081121808318</v>
      </c>
      <c r="X26" s="185">
        <f>(J26/'Population Figures'!AA28)*1000</f>
        <v>14.375512455390767</v>
      </c>
      <c r="Y26" s="186">
        <f>(K26/'Population Figures'!AA28)*1000</f>
        <v>0</v>
      </c>
      <c r="Z26" s="186">
        <f>(L26/'Population Figures'!AA28)*1000</f>
        <v>0</v>
      </c>
      <c r="AA26" s="186">
        <f>(M26/'Population Figures'!AA28)*1000</f>
        <v>31.531521300628384</v>
      </c>
    </row>
    <row r="27" spans="1:27">
      <c r="A27" s="7" t="s">
        <v>54</v>
      </c>
      <c r="B27" s="425">
        <f t="shared" si="1"/>
        <v>118652.52895019934</v>
      </c>
      <c r="C27" s="280">
        <f t="shared" si="2"/>
        <v>516.2878883756249</v>
      </c>
      <c r="D27" s="425">
        <f t="shared" si="2"/>
        <v>0</v>
      </c>
      <c r="E27" s="425">
        <f t="shared" si="2"/>
        <v>28669.761754097326</v>
      </c>
      <c r="F27" s="280">
        <f t="shared" si="2"/>
        <v>51723.492533063349</v>
      </c>
      <c r="G27" s="425">
        <f t="shared" si="2"/>
        <v>6489.7489400746699</v>
      </c>
      <c r="H27" s="425">
        <f t="shared" si="2"/>
        <v>20259.462602037591</v>
      </c>
      <c r="I27" s="425">
        <f t="shared" si="2"/>
        <v>5217.868126305133</v>
      </c>
      <c r="J27" s="425">
        <f t="shared" si="2"/>
        <v>1721.9779472252105</v>
      </c>
      <c r="K27" s="280">
        <f t="shared" si="2"/>
        <v>0</v>
      </c>
      <c r="L27" s="280">
        <f t="shared" si="2"/>
        <v>0</v>
      </c>
      <c r="M27" s="280">
        <f t="shared" si="2"/>
        <v>4053.9291590204398</v>
      </c>
      <c r="N27" s="233"/>
      <c r="O27" s="7" t="s">
        <v>54</v>
      </c>
      <c r="P27" s="8">
        <f>(B27*1000)/SUM('Population Figures'!$Z29:$AB29)</f>
        <v>679.17875758557147</v>
      </c>
      <c r="Q27" s="280">
        <f>(C27/SUM('Population Figures'!Z29:AB29))*1000</f>
        <v>2.9552827039245844</v>
      </c>
      <c r="R27" s="8">
        <f>(D27/'Population Figures'!Z29)*1000</f>
        <v>0</v>
      </c>
      <c r="S27" s="8">
        <f>(E27/'Population Figures'!Z29)*1000</f>
        <v>825.7182037987767</v>
      </c>
      <c r="T27" s="7">
        <f>(F27/'Population Figures'!AB29)*1000</f>
        <v>1745.1748610926295</v>
      </c>
      <c r="U27" s="8">
        <f>(G27/'Population Figures'!AA29)*1000</f>
        <v>58.815389928264835</v>
      </c>
      <c r="V27" s="8">
        <f>(H27/'Population Figures'!AA29)*1000</f>
        <v>183.60774872474954</v>
      </c>
      <c r="W27" s="8">
        <f>(I27/'Population Figures'!AA29)*1000</f>
        <v>47.288570216919666</v>
      </c>
      <c r="X27" s="185">
        <f>(J27/'Population Figures'!AA29)*1000</f>
        <v>15.6059664786907</v>
      </c>
      <c r="Y27" s="186">
        <f>(K27/'Population Figures'!AA29)*1000</f>
        <v>0</v>
      </c>
      <c r="Z27" s="186">
        <f>(L27/'Population Figures'!AA29)*1000</f>
        <v>0</v>
      </c>
      <c r="AA27" s="186">
        <f>(M27/'Population Figures'!AA29)*1000</f>
        <v>36.740007422630207</v>
      </c>
    </row>
    <row r="28" spans="1:27">
      <c r="A28" s="7" t="s">
        <v>55</v>
      </c>
      <c r="B28" s="425">
        <f t="shared" si="1"/>
        <v>85106.03603746125</v>
      </c>
      <c r="C28" s="280">
        <f t="shared" si="2"/>
        <v>231.15848256660132</v>
      </c>
      <c r="D28" s="425">
        <f t="shared" si="2"/>
        <v>23.421344048598371</v>
      </c>
      <c r="E28" s="425">
        <f t="shared" si="2"/>
        <v>14501.885243308234</v>
      </c>
      <c r="F28" s="280">
        <f t="shared" si="2"/>
        <v>40026.058659748152</v>
      </c>
      <c r="G28" s="425">
        <f t="shared" si="2"/>
        <v>5605.8477820666967</v>
      </c>
      <c r="H28" s="425">
        <f t="shared" si="2"/>
        <v>20276.774030247423</v>
      </c>
      <c r="I28" s="425">
        <f t="shared" si="2"/>
        <v>2462.2960830222114</v>
      </c>
      <c r="J28" s="425">
        <f t="shared" si="2"/>
        <v>454.17041068151622</v>
      </c>
      <c r="K28" s="280">
        <f t="shared" si="2"/>
        <v>0</v>
      </c>
      <c r="L28" s="280">
        <f t="shared" si="2"/>
        <v>0</v>
      </c>
      <c r="M28" s="280">
        <f t="shared" si="2"/>
        <v>1524.4240017718157</v>
      </c>
      <c r="N28" s="233"/>
      <c r="O28" s="7" t="s">
        <v>55</v>
      </c>
      <c r="P28" s="8">
        <f>(B28*1000)/SUM('Population Figures'!$Z30:$AB30)</f>
        <v>747.33083980910828</v>
      </c>
      <c r="Q28" s="280">
        <f>(C28/SUM('Population Figures'!Z30:AB30))*1000</f>
        <v>2.0298426639146587</v>
      </c>
      <c r="R28" s="8">
        <f>(D28/'Population Figures'!Z30)*1000</f>
        <v>1.0639778334892278</v>
      </c>
      <c r="S28" s="8">
        <f>(E28/'Population Figures'!Z30)*1000</f>
        <v>658.7873185530475</v>
      </c>
      <c r="T28" s="7">
        <f>(F28/'Population Figures'!AB30)*1000</f>
        <v>1670.5366719427443</v>
      </c>
      <c r="U28" s="8">
        <f>(G28/'Population Figures'!AA30)*1000</f>
        <v>82.55183975240692</v>
      </c>
      <c r="V28" s="8">
        <f>(H28/'Population Figures'!AA30)*1000</f>
        <v>298.59622763849706</v>
      </c>
      <c r="W28" s="8">
        <f>(I28/'Population Figures'!AA30)*1000</f>
        <v>36.259827161002711</v>
      </c>
      <c r="X28" s="185">
        <f>(J28/'Population Figures'!AA30)*1000</f>
        <v>6.688123620267663</v>
      </c>
      <c r="Y28" s="186">
        <f>(K28/'Population Figures'!AA30)*1000</f>
        <v>0</v>
      </c>
      <c r="Z28" s="186">
        <f>(L28/'Population Figures'!AA30)*1000</f>
        <v>0</v>
      </c>
      <c r="AA28" s="186">
        <f>(M28/'Population Figures'!AA30)*1000</f>
        <v>22.448701927221283</v>
      </c>
    </row>
    <row r="29" spans="1:27">
      <c r="A29" s="7" t="s">
        <v>56</v>
      </c>
      <c r="B29" s="425">
        <f t="shared" si="1"/>
        <v>38899.797506802512</v>
      </c>
      <c r="C29" s="280">
        <f t="shared" si="2"/>
        <v>35.641175726127955</v>
      </c>
      <c r="D29" s="425">
        <f t="shared" si="2"/>
        <v>43.787730177814346</v>
      </c>
      <c r="E29" s="425">
        <f t="shared" si="2"/>
        <v>5348.212997532115</v>
      </c>
      <c r="F29" s="280">
        <f t="shared" si="2"/>
        <v>20451.924950958681</v>
      </c>
      <c r="G29" s="425">
        <f t="shared" si="2"/>
        <v>3488.7619439346963</v>
      </c>
      <c r="H29" s="425">
        <f t="shared" si="2"/>
        <v>6389.9536480415118</v>
      </c>
      <c r="I29" s="425">
        <f t="shared" si="2"/>
        <v>1917.4952540656839</v>
      </c>
      <c r="J29" s="425">
        <f t="shared" si="2"/>
        <v>800.3989748781878</v>
      </c>
      <c r="K29" s="280">
        <f t="shared" si="2"/>
        <v>0</v>
      </c>
      <c r="L29" s="280">
        <f t="shared" si="2"/>
        <v>0</v>
      </c>
      <c r="M29" s="280">
        <f t="shared" si="2"/>
        <v>423.62083148769227</v>
      </c>
      <c r="N29" s="233"/>
      <c r="O29" s="7" t="s">
        <v>56</v>
      </c>
      <c r="P29" s="8">
        <f>(B29*1000)/SUM('Population Figures'!$Z31:$AB31)</f>
        <v>1673.8294968503665</v>
      </c>
      <c r="Q29" s="280">
        <f>(C29/SUM('Population Figures'!Z31:AB31))*1000</f>
        <v>1.5336134133445762</v>
      </c>
      <c r="R29" s="8">
        <f>(D29/'Population Figures'!Z31)*1000</f>
        <v>8.5824637745618091</v>
      </c>
      <c r="S29" s="8">
        <f>(E29/'Population Figures'!Z31)*1000</f>
        <v>1048.2581335813632</v>
      </c>
      <c r="T29" s="7">
        <f>(F29/'Population Figures'!AB31)*1000</f>
        <v>5387.756836395859</v>
      </c>
      <c r="U29" s="8">
        <f>(G29/'Population Figures'!AA31)*1000</f>
        <v>243.25491172323919</v>
      </c>
      <c r="V29" s="8">
        <f>(H29/'Population Figures'!AA31)*1000</f>
        <v>445.54132255205076</v>
      </c>
      <c r="W29" s="8">
        <f>(I29/'Population Figures'!AA31)*1000</f>
        <v>133.69789806621699</v>
      </c>
      <c r="X29" s="185">
        <f>(J29/'Population Figures'!AA31)*1000</f>
        <v>55.808044545962055</v>
      </c>
      <c r="Y29" s="186">
        <f>(K29/'Population Figures'!AA31)*1000</f>
        <v>0</v>
      </c>
      <c r="Z29" s="186">
        <f>(L29/'Population Figures'!AA31)*1000</f>
        <v>0</v>
      </c>
      <c r="AA29" s="186">
        <f>(M29/'Population Figures'!AA31)*1000</f>
        <v>29.537082100661848</v>
      </c>
    </row>
    <row r="30" spans="1:27">
      <c r="A30" s="7" t="s">
        <v>57</v>
      </c>
      <c r="B30" s="425">
        <f t="shared" si="1"/>
        <v>88791.333607542882</v>
      </c>
      <c r="C30" s="280">
        <f t="shared" si="2"/>
        <v>0</v>
      </c>
      <c r="D30" s="425">
        <f t="shared" si="2"/>
        <v>67.20907422641271</v>
      </c>
      <c r="E30" s="425">
        <f t="shared" si="2"/>
        <v>17811.422989305829</v>
      </c>
      <c r="F30" s="280">
        <f t="shared" si="2"/>
        <v>43542.315224957289</v>
      </c>
      <c r="G30" s="425">
        <f t="shared" si="2"/>
        <v>3811.5691640827695</v>
      </c>
      <c r="H30" s="425">
        <f t="shared" si="2"/>
        <v>17040.555274315007</v>
      </c>
      <c r="I30" s="425">
        <f t="shared" si="2"/>
        <v>3994.8666392457135</v>
      </c>
      <c r="J30" s="425">
        <f t="shared" si="2"/>
        <v>1003.0445168638868</v>
      </c>
      <c r="K30" s="280">
        <f t="shared" si="2"/>
        <v>0</v>
      </c>
      <c r="L30" s="280">
        <f t="shared" si="2"/>
        <v>0</v>
      </c>
      <c r="M30" s="280">
        <f t="shared" si="2"/>
        <v>1520.3507245459725</v>
      </c>
      <c r="O30" s="7" t="s">
        <v>57</v>
      </c>
      <c r="P30" s="8">
        <f>(B30*1000)/SUM('Population Figures'!$Z32:$AB32)</f>
        <v>785.90311212199401</v>
      </c>
      <c r="Q30" s="280">
        <f>(C30/SUM('Population Figures'!Z32:AB32))*1000</f>
        <v>0</v>
      </c>
      <c r="R30" s="8">
        <f>(D30/'Population Figures'!Z32)*1000</f>
        <v>3.1781848123333196</v>
      </c>
      <c r="S30" s="8">
        <f>(E30/'Population Figures'!Z32)*1000</f>
        <v>842.26712958366807</v>
      </c>
      <c r="T30" s="7">
        <f>(F30/'Population Figures'!AB32)*1000</f>
        <v>1782.4756519140858</v>
      </c>
      <c r="U30" s="8">
        <f>(G30/'Population Figures'!AA32)*1000</f>
        <v>56.547276375384165</v>
      </c>
      <c r="V30" s="8">
        <f>(H30/'Population Figures'!AA32)*1000</f>
        <v>252.80847525131676</v>
      </c>
      <c r="W30" s="8">
        <f>(I30/'Population Figures'!AA32)*1000</f>
        <v>59.26662175277373</v>
      </c>
      <c r="X30" s="185">
        <f>(J30/'Population Figures'!AA32)*1000</f>
        <v>14.880862204048466</v>
      </c>
      <c r="Y30" s="186">
        <f>(K30/'Population Figures'!AA32)*1000</f>
        <v>0</v>
      </c>
      <c r="Z30" s="186">
        <f>(L30/'Population Figures'!AA32)*1000</f>
        <v>0</v>
      </c>
      <c r="AA30" s="186">
        <f>(M30/'Population Figures'!AA32)*1000</f>
        <v>22.555459158014578</v>
      </c>
    </row>
    <row r="31" spans="1:27">
      <c r="A31" s="7" t="s">
        <v>58</v>
      </c>
      <c r="B31" s="425">
        <f t="shared" si="1"/>
        <v>194376.78921723727</v>
      </c>
      <c r="C31" s="280">
        <f t="shared" si="2"/>
        <v>1007.11779408973</v>
      </c>
      <c r="D31" s="425">
        <f t="shared" si="2"/>
        <v>56.00756185534393</v>
      </c>
      <c r="E31" s="425">
        <f t="shared" si="2"/>
        <v>31173.80892868443</v>
      </c>
      <c r="F31" s="280">
        <f t="shared" si="2"/>
        <v>98296.326014047983</v>
      </c>
      <c r="G31" s="425">
        <f t="shared" si="2"/>
        <v>9585.4396317154988</v>
      </c>
      <c r="H31" s="425">
        <f t="shared" si="2"/>
        <v>38839.716667721324</v>
      </c>
      <c r="I31" s="425">
        <f t="shared" si="2"/>
        <v>8008.0630260077214</v>
      </c>
      <c r="J31" s="425">
        <f t="shared" si="2"/>
        <v>1175.1404796557617</v>
      </c>
      <c r="K31" s="280">
        <f t="shared" si="2"/>
        <v>0</v>
      </c>
      <c r="L31" s="280">
        <f t="shared" si="2"/>
        <v>0</v>
      </c>
      <c r="M31" s="280">
        <f t="shared" si="2"/>
        <v>6235.1691134594703</v>
      </c>
      <c r="O31" s="7" t="s">
        <v>58</v>
      </c>
      <c r="P31" s="8">
        <f>(B31*1000)/SUM('Population Figures'!$Z33:$AB33)</f>
        <v>619.23156807020473</v>
      </c>
      <c r="Q31" s="280">
        <f>(C31/SUM('Population Figures'!Z33:AB33))*1000</f>
        <v>3.2084032943285439</v>
      </c>
      <c r="R31" s="8">
        <f>(D31/'Population Figures'!Z33)*1000</f>
        <v>0.88716418012298126</v>
      </c>
      <c r="S31" s="8">
        <f>(E31/'Population Figures'!Z33)*1000</f>
        <v>493.79558265645136</v>
      </c>
      <c r="T31" s="7">
        <f>(F31/'Population Figures'!AB33)*1000</f>
        <v>1845.7324247793297</v>
      </c>
      <c r="U31" s="8">
        <f>(G31/'Population Figures'!AA33)*1000</f>
        <v>48.530677128672536</v>
      </c>
      <c r="V31" s="8">
        <f>(H31/'Population Figures'!AA33)*1000</f>
        <v>196.64384960848818</v>
      </c>
      <c r="W31" s="8">
        <f>(I31/'Population Figures'!AA33)*1000</f>
        <v>40.544485811099634</v>
      </c>
      <c r="X31" s="185">
        <f>(J31/'Population Figures'!AA33)*1000</f>
        <v>5.9496867530530224</v>
      </c>
      <c r="Y31" s="186">
        <f>(K31/'Population Figures'!AA33)*1000</f>
        <v>0</v>
      </c>
      <c r="Z31" s="186">
        <f>(L31/'Population Figures'!AA33)*1000</f>
        <v>0</v>
      </c>
      <c r="AA31" s="186">
        <f>(M31/'Population Figures'!AA33)*1000</f>
        <v>31.568398603937315</v>
      </c>
    </row>
    <row r="32" spans="1:27">
      <c r="A32" s="7" t="s">
        <v>59</v>
      </c>
      <c r="B32" s="425">
        <f t="shared" si="1"/>
        <v>56112.448743909394</v>
      </c>
      <c r="C32" s="280">
        <f t="shared" si="2"/>
        <v>674.12738087704872</v>
      </c>
      <c r="D32" s="425">
        <f t="shared" si="2"/>
        <v>0</v>
      </c>
      <c r="E32" s="425">
        <f t="shared" si="2"/>
        <v>11338.985477440994</v>
      </c>
      <c r="F32" s="280">
        <f t="shared" si="2"/>
        <v>25794.02803265203</v>
      </c>
      <c r="G32" s="425">
        <f t="shared" si="2"/>
        <v>3217.8890084161239</v>
      </c>
      <c r="H32" s="425">
        <f t="shared" si="2"/>
        <v>9552.8534139087533</v>
      </c>
      <c r="I32" s="425">
        <f t="shared" si="2"/>
        <v>2841.1108650256283</v>
      </c>
      <c r="J32" s="425">
        <f t="shared" si="2"/>
        <v>390.01629437448588</v>
      </c>
      <c r="K32" s="280">
        <f t="shared" si="2"/>
        <v>0</v>
      </c>
      <c r="L32" s="280">
        <f t="shared" si="2"/>
        <v>0</v>
      </c>
      <c r="M32" s="280">
        <f t="shared" si="2"/>
        <v>2303.4382712143265</v>
      </c>
      <c r="O32" s="7" t="s">
        <v>59</v>
      </c>
      <c r="P32" s="8">
        <f>(B32*1000)/SUM('Population Figures'!$Z34:$AB34)</f>
        <v>621.19394159093758</v>
      </c>
      <c r="Q32" s="280">
        <f>(C32/SUM('Population Figures'!Z34:AB34))*1000</f>
        <v>7.4629401182004731</v>
      </c>
      <c r="R32" s="8">
        <f>(D32/'Population Figures'!Z34)*1000</f>
        <v>0</v>
      </c>
      <c r="S32" s="8">
        <f>(E32/'Population Figures'!Z34)*1000</f>
        <v>623.70657191644625</v>
      </c>
      <c r="T32" s="7">
        <f>(F32/'Population Figures'!AB34)*1000</f>
        <v>1647.5490567611157</v>
      </c>
      <c r="U32" s="8">
        <f>(G32/'Population Figures'!AA34)*1000</f>
        <v>56.959836591781851</v>
      </c>
      <c r="V32" s="8">
        <f>(H32/'Population Figures'!AA34)*1000</f>
        <v>169.09500856566632</v>
      </c>
      <c r="W32" s="8">
        <f>(I32/'Population Figures'!AA34)*1000</f>
        <v>50.290488636414985</v>
      </c>
      <c r="X32" s="185">
        <f>(J32/'Population Figures'!AA34)*1000</f>
        <v>6.9036763970419139</v>
      </c>
      <c r="Y32" s="186">
        <f>(K32/'Population Figures'!AA34)*1000</f>
        <v>0</v>
      </c>
      <c r="Z32" s="186">
        <f>(L32/'Population Figures'!AA34)*1000</f>
        <v>0</v>
      </c>
      <c r="AA32" s="186">
        <f>(M32/'Population Figures'!AA34)*1000</f>
        <v>40.773148851459034</v>
      </c>
    </row>
    <row r="33" spans="1:27">
      <c r="A33" s="7" t="s">
        <v>60</v>
      </c>
      <c r="B33" s="425">
        <f t="shared" si="1"/>
        <v>73574.588211099166</v>
      </c>
      <c r="C33" s="280">
        <f t="shared" si="2"/>
        <v>1944.9898753401255</v>
      </c>
      <c r="D33" s="425">
        <f t="shared" si="2"/>
        <v>37.677814339049554</v>
      </c>
      <c r="E33" s="425">
        <f t="shared" si="2"/>
        <v>16081.298487628934</v>
      </c>
      <c r="F33" s="280">
        <f t="shared" si="2"/>
        <v>31292.952287540345</v>
      </c>
      <c r="G33" s="425">
        <f t="shared" si="2"/>
        <v>5765.723913181042</v>
      </c>
      <c r="H33" s="425">
        <f t="shared" si="2"/>
        <v>10695.40767575777</v>
      </c>
      <c r="I33" s="425">
        <f t="shared" si="2"/>
        <v>3330.9224514332727</v>
      </c>
      <c r="J33" s="425">
        <f t="shared" si="2"/>
        <v>2033.583655002215</v>
      </c>
      <c r="K33" s="280">
        <f t="shared" si="2"/>
        <v>29.531259887363163</v>
      </c>
      <c r="L33" s="280">
        <f t="shared" si="2"/>
        <v>39.714452951971147</v>
      </c>
      <c r="M33" s="280">
        <f t="shared" si="2"/>
        <v>2322.7863380370818</v>
      </c>
      <c r="O33" s="7" t="s">
        <v>60</v>
      </c>
      <c r="P33" s="8">
        <f>(B33*1000)/SUM('Population Figures'!$Z35:$AB35)</f>
        <v>811.99192375123232</v>
      </c>
      <c r="Q33" s="280">
        <f>(C33/SUM('Population Figures'!Z35:AB35))*1000</f>
        <v>21.465510157158434</v>
      </c>
      <c r="R33" s="8">
        <f>(D33/'Population Figures'!Z35)*1000</f>
        <v>2.0645377720027152</v>
      </c>
      <c r="S33" s="8">
        <f>(E33/'Population Figures'!Z35)*1000</f>
        <v>881.1670404180237</v>
      </c>
      <c r="T33" s="7">
        <f>(F33/'Population Figures'!AB35)*1000</f>
        <v>2087.8671128596438</v>
      </c>
      <c r="U33" s="8">
        <f>(G33/'Population Figures'!AA35)*1000</f>
        <v>100.49717480968141</v>
      </c>
      <c r="V33" s="8">
        <f>(H33/'Population Figures'!AA35)*1000</f>
        <v>186.42208177783186</v>
      </c>
      <c r="W33" s="8">
        <f>(I33/'Population Figures'!AA35)*1000</f>
        <v>58.058329000789108</v>
      </c>
      <c r="X33" s="185">
        <f>(J33/'Population Figures'!AA35)*1000</f>
        <v>35.445577197974885</v>
      </c>
      <c r="Y33" s="186">
        <f>(K33/'Population Figures'!AA35)*1000</f>
        <v>0.51473296882387165</v>
      </c>
      <c r="Z33" s="186">
        <f>(L33/'Population Figures'!AA35)*1000</f>
        <v>0.69222709600451693</v>
      </c>
      <c r="AA33" s="186">
        <f>(M33/'Population Figures'!AA35)*1000</f>
        <v>40.486410409905211</v>
      </c>
    </row>
    <row r="34" spans="1:27">
      <c r="A34" s="7" t="s">
        <v>61</v>
      </c>
      <c r="B34" s="425">
        <f t="shared" si="1"/>
        <v>86689.52255900779</v>
      </c>
      <c r="C34" s="280">
        <f t="shared" si="2"/>
        <v>2309.5481870530916</v>
      </c>
      <c r="D34" s="425">
        <f t="shared" si="2"/>
        <v>106.92352717838386</v>
      </c>
      <c r="E34" s="425">
        <f t="shared" si="2"/>
        <v>20326.671676264003</v>
      </c>
      <c r="F34" s="280">
        <f t="shared" si="2"/>
        <v>35247.086154527628</v>
      </c>
      <c r="G34" s="425">
        <f t="shared" si="2"/>
        <v>6065.1097892805174</v>
      </c>
      <c r="H34" s="425">
        <f t="shared" si="2"/>
        <v>13380.715686894895</v>
      </c>
      <c r="I34" s="425">
        <f t="shared" si="2"/>
        <v>4354.3333544263751</v>
      </c>
      <c r="J34" s="425">
        <f t="shared" si="2"/>
        <v>2070.2431500348039</v>
      </c>
      <c r="K34" s="280">
        <f t="shared" si="2"/>
        <v>10.183193064607988</v>
      </c>
      <c r="L34" s="280">
        <f t="shared" si="2"/>
        <v>0</v>
      </c>
      <c r="M34" s="280">
        <f t="shared" si="2"/>
        <v>2818.7078402834909</v>
      </c>
      <c r="O34" s="7" t="s">
        <v>61</v>
      </c>
      <c r="P34" s="8">
        <f>(B34*1000)/SUM('Population Figures'!$Z36:$AB36)</f>
        <v>494.52095013695259</v>
      </c>
      <c r="Q34" s="280">
        <f>(C34/SUM('Population Figures'!Z36:AB36))*1000</f>
        <v>13.174832784102064</v>
      </c>
      <c r="R34" s="8">
        <f>(D34/'Population Figures'!Z36)*1000</f>
        <v>2.6740909635709356</v>
      </c>
      <c r="S34" s="8">
        <f>(E34/'Population Figures'!Z36)*1000</f>
        <v>508.35742594132802</v>
      </c>
      <c r="T34" s="7">
        <f>(F34/'Population Figures'!AB36)*1000</f>
        <v>1459.748453347454</v>
      </c>
      <c r="U34" s="8">
        <f>(G34/'Population Figures'!AA36)*1000</f>
        <v>54.557563612882348</v>
      </c>
      <c r="V34" s="8">
        <f>(H34/'Population Figures'!AA36)*1000</f>
        <v>120.36373167784988</v>
      </c>
      <c r="W34" s="8">
        <f>(I34/'Population Figures'!AA36)*1000</f>
        <v>39.168593352700618</v>
      </c>
      <c r="X34" s="185">
        <f>(J34/'Population Figures'!AA36)*1000</f>
        <v>18.622486035088954</v>
      </c>
      <c r="Y34" s="186">
        <f>(K34/'Population Figures'!AA36)*1000</f>
        <v>9.1601013453462637E-2</v>
      </c>
      <c r="Z34" s="186">
        <f>(L34/'Population Figures'!AA36)*1000</f>
        <v>0</v>
      </c>
      <c r="AA34" s="186">
        <f>(M34/'Population Figures'!AA36)*1000</f>
        <v>25.355160523918457</v>
      </c>
    </row>
    <row r="35" spans="1:27" s="1" customFormat="1">
      <c r="A35" s="52" t="s">
        <v>5</v>
      </c>
      <c r="B35" s="53">
        <f t="shared" si="1"/>
        <v>3732142.2948174402</v>
      </c>
      <c r="C35" s="52">
        <f t="shared" si="2"/>
        <v>30377.483231032085</v>
      </c>
      <c r="D35" s="53">
        <f t="shared" si="2"/>
        <v>2504.0471745871041</v>
      </c>
      <c r="E35" s="53">
        <f t="shared" si="2"/>
        <v>807284.85002847575</v>
      </c>
      <c r="F35" s="52">
        <f t="shared" si="2"/>
        <v>1663419.4955071823</v>
      </c>
      <c r="G35" s="53">
        <f t="shared" si="2"/>
        <v>214738.08374992092</v>
      </c>
      <c r="H35" s="53">
        <f t="shared" si="2"/>
        <v>679308.58950832125</v>
      </c>
      <c r="I35" s="53">
        <f t="shared" si="2"/>
        <v>158412.80627096124</v>
      </c>
      <c r="J35" s="53">
        <f t="shared" si="2"/>
        <v>61181.642251471247</v>
      </c>
      <c r="K35" s="52">
        <f t="shared" si="2"/>
        <v>2030.5286970828327</v>
      </c>
      <c r="L35" s="52">
        <f t="shared" si="2"/>
        <v>463.33528443966344</v>
      </c>
      <c r="M35" s="52">
        <f t="shared" si="2"/>
        <v>112421.43311396572</v>
      </c>
      <c r="O35" s="52" t="s">
        <v>5</v>
      </c>
      <c r="P35" s="53">
        <f>(B35*1000)/SUM('Population Figures'!$Z37:$AB37)</f>
        <v>704.19107809910372</v>
      </c>
      <c r="Q35" s="52">
        <f>(C35/SUM('Population Figures'!Z37:AB37))*1000</f>
        <v>5.7317087550769044</v>
      </c>
      <c r="R35" s="53">
        <f>(D35/'Population Figures'!Z37)*1000</f>
        <v>2.4029825351248242</v>
      </c>
      <c r="S35" s="53">
        <f>(E35/'Population Figures'!Z37)*1000</f>
        <v>774.70241582376013</v>
      </c>
      <c r="T35" s="52">
        <f>(F35/'Population Figures'!AB37)*1000</f>
        <v>1855.7410778513888</v>
      </c>
      <c r="U35" s="53">
        <f>(G35/'Population Figures'!AA37)*1000</f>
        <v>63.882043479065132</v>
      </c>
      <c r="V35" s="53">
        <f>(H35/'Population Figures'!AA37)*1000</f>
        <v>202.08628154291691</v>
      </c>
      <c r="W35" s="53">
        <f>(I35/'Population Figures'!AA37)*1000</f>
        <v>47.12593873021369</v>
      </c>
      <c r="X35" s="445">
        <f>(J35/'Population Figures'!AA37)*1000</f>
        <v>18.20081590641713</v>
      </c>
      <c r="Y35" s="446">
        <f>(K35/'Population Figures'!AA37)*1000</f>
        <v>0.60405830324721221</v>
      </c>
      <c r="Z35" s="446">
        <f>(L35/'Population Figures'!AA37)*1000</f>
        <v>0.13783677431167582</v>
      </c>
      <c r="AA35" s="446">
        <f>(M35/'Population Figures'!AA37)*1000</f>
        <v>33.444048455460873</v>
      </c>
    </row>
    <row r="37" spans="1:27" ht="13.5" thickBot="1">
      <c r="B37" s="11"/>
      <c r="N37" s="233"/>
      <c r="S37" s="11"/>
      <c r="V37" s="11"/>
      <c r="W37" s="11"/>
      <c r="X37" s="149"/>
    </row>
    <row r="38" spans="1:27">
      <c r="A38" s="557"/>
      <c r="B38" s="558" t="s">
        <v>2</v>
      </c>
      <c r="C38" s="558" t="s">
        <v>3</v>
      </c>
      <c r="D38" s="558" t="s">
        <v>4</v>
      </c>
      <c r="E38" s="558" t="s">
        <v>0</v>
      </c>
      <c r="F38" s="558" t="s">
        <v>1</v>
      </c>
      <c r="G38" s="558" t="s">
        <v>28</v>
      </c>
      <c r="H38" s="558" t="s">
        <v>65</v>
      </c>
      <c r="I38" s="558" t="s">
        <v>267</v>
      </c>
      <c r="J38" s="558" t="s">
        <v>315</v>
      </c>
      <c r="K38" s="564" t="s">
        <v>322</v>
      </c>
      <c r="N38" s="233"/>
      <c r="S38" s="11"/>
      <c r="V38" s="11"/>
      <c r="W38" s="11"/>
      <c r="X38" s="149"/>
    </row>
    <row r="39" spans="1:27"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0">
        <f>Deflators!$K$2/Deflators!G2</f>
        <v>1.0903639628245232</v>
      </c>
      <c r="H39" s="560">
        <f>Deflators!$K$2/Deflators!H2</f>
        <v>1.0651759021258289</v>
      </c>
      <c r="I39" s="560">
        <f>Deflators!$K$2/Deflators!I2</f>
        <v>1.0341337503213095</v>
      </c>
      <c r="J39" s="561">
        <f>Deflators!$K$2/Deflators!J2</f>
        <v>1.0183193064607987</v>
      </c>
      <c r="K39" s="563">
        <f>Deflators!$K$2/Deflators!K2</f>
        <v>1</v>
      </c>
      <c r="N39" s="233"/>
      <c r="S39" s="11"/>
      <c r="V39" s="11"/>
      <c r="W39" s="11"/>
      <c r="X39" s="149"/>
    </row>
    <row r="40" spans="1:27">
      <c r="N40" s="233"/>
      <c r="S40" s="11"/>
      <c r="V40" s="11"/>
      <c r="W40" s="11"/>
      <c r="X40" s="149"/>
    </row>
    <row r="41" spans="1:27">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76.5">
      <c r="A44" s="21" t="s">
        <v>26</v>
      </c>
      <c r="B44" s="10" t="s">
        <v>9</v>
      </c>
      <c r="C44" s="9" t="s">
        <v>10</v>
      </c>
      <c r="D44" s="10" t="s">
        <v>11</v>
      </c>
      <c r="E44" s="10" t="s">
        <v>12</v>
      </c>
      <c r="F44" s="9" t="s">
        <v>14</v>
      </c>
      <c r="G44" s="10" t="s">
        <v>15</v>
      </c>
      <c r="H44" s="10" t="s">
        <v>16</v>
      </c>
      <c r="I44" s="10" t="s">
        <v>17</v>
      </c>
      <c r="J44" s="186" t="s">
        <v>351</v>
      </c>
      <c r="K44" s="186" t="s">
        <v>19</v>
      </c>
      <c r="L44" s="9" t="s">
        <v>20</v>
      </c>
      <c r="M44" s="9" t="s">
        <v>21</v>
      </c>
      <c r="O44" s="21" t="s">
        <v>26</v>
      </c>
      <c r="P44" s="10" t="s">
        <v>9</v>
      </c>
      <c r="Q44" s="9" t="s">
        <v>10</v>
      </c>
      <c r="R44" s="10" t="s">
        <v>11</v>
      </c>
      <c r="S44" s="10" t="s">
        <v>12</v>
      </c>
      <c r="T44" s="9" t="s">
        <v>14</v>
      </c>
      <c r="U44" s="10" t="s">
        <v>15</v>
      </c>
      <c r="V44" s="10" t="s">
        <v>16</v>
      </c>
      <c r="W44" s="10" t="s">
        <v>17</v>
      </c>
      <c r="X44" s="10" t="s">
        <v>18</v>
      </c>
      <c r="Y44" s="9" t="s">
        <v>19</v>
      </c>
      <c r="Z44" s="9" t="s">
        <v>20</v>
      </c>
      <c r="AA44" s="9" t="s">
        <v>21</v>
      </c>
    </row>
    <row r="45" spans="1:27">
      <c r="A45" s="7" t="s">
        <v>31</v>
      </c>
      <c r="B45" s="425">
        <v>157368</v>
      </c>
      <c r="C45" s="280">
        <v>723</v>
      </c>
      <c r="D45" s="425">
        <v>0</v>
      </c>
      <c r="E45" s="425">
        <v>36200</v>
      </c>
      <c r="F45" s="280">
        <v>64574</v>
      </c>
      <c r="G45" s="425">
        <v>8882</v>
      </c>
      <c r="H45" s="425">
        <v>31141</v>
      </c>
      <c r="I45" s="425">
        <v>8995</v>
      </c>
      <c r="J45" s="425">
        <v>2261</v>
      </c>
      <c r="K45" s="280">
        <v>0</v>
      </c>
      <c r="L45" s="280">
        <v>0</v>
      </c>
      <c r="M45" s="280">
        <v>4592</v>
      </c>
      <c r="N45" s="233"/>
      <c r="O45" s="7" t="s">
        <v>31</v>
      </c>
      <c r="P45" s="425">
        <f>(B45*1000)/SUM('Population Figures'!$Z5:$AB5)</f>
        <v>707.39908298121009</v>
      </c>
      <c r="Q45" s="280">
        <f>(C45/SUM('Population Figures'!Z5:AB5))*1000</f>
        <v>3.250022475950733</v>
      </c>
      <c r="R45" s="425">
        <f>(D45/'Population Figures'!Z5)*1000</f>
        <v>0</v>
      </c>
      <c r="S45" s="425">
        <f>(E45/'Population Figures'!Z5)*1000</f>
        <v>990.1260906430349</v>
      </c>
      <c r="T45" s="280">
        <f>(F45/'Population Figures'!AB5)*1000</f>
        <v>2002.3566622220844</v>
      </c>
      <c r="U45" s="425">
        <f>(G45/'Population Figures'!AA5)*1000</f>
        <v>57.806703547022458</v>
      </c>
      <c r="V45" s="425">
        <f>(H45/'Population Figures'!AA5)*1000</f>
        <v>202.67491051090138</v>
      </c>
      <c r="W45" s="425">
        <f>(I45/'Population Figures'!AA5)*1000</f>
        <v>58.542141230068339</v>
      </c>
      <c r="X45" s="500">
        <f>(J45/'Population Figures'!AA5)*1000</f>
        <v>14.715261958997722</v>
      </c>
      <c r="Y45" s="186">
        <f>(K45/'Population Figures'!AA5)*1000</f>
        <v>0</v>
      </c>
      <c r="Z45" s="186">
        <f>(L45/'Population Figures'!AA5)*1000</f>
        <v>0</v>
      </c>
      <c r="AA45" s="501">
        <f>(M45/'Population Figures'!AA5)*1000</f>
        <v>29.886104783599087</v>
      </c>
    </row>
    <row r="46" spans="1:27">
      <c r="A46" s="7" t="s">
        <v>32</v>
      </c>
      <c r="B46" s="425">
        <v>142427</v>
      </c>
      <c r="C46" s="280">
        <v>1401</v>
      </c>
      <c r="D46" s="425">
        <v>118</v>
      </c>
      <c r="E46" s="425">
        <v>25890</v>
      </c>
      <c r="F46" s="280">
        <v>60492</v>
      </c>
      <c r="G46" s="425">
        <v>4724</v>
      </c>
      <c r="H46" s="425">
        <v>38715</v>
      </c>
      <c r="I46" s="425">
        <v>5205</v>
      </c>
      <c r="J46" s="425">
        <v>2585</v>
      </c>
      <c r="K46" s="280">
        <v>0</v>
      </c>
      <c r="L46" s="280">
        <v>0</v>
      </c>
      <c r="M46" s="280">
        <v>3297</v>
      </c>
      <c r="N46" s="233"/>
      <c r="O46" s="7" t="s">
        <v>32</v>
      </c>
      <c r="P46" s="425">
        <f>(B46*1000)/SUM('Population Figures'!$Z6:$AB6)</f>
        <v>561.50995466193569</v>
      </c>
      <c r="Q46" s="280">
        <f>(C46/SUM('Population Figures'!Z6:AB6))*1000</f>
        <v>5.5233589591957415</v>
      </c>
      <c r="R46" s="425">
        <f>(D46/'Population Figures'!Z6)*1000</f>
        <v>2.1807832338427988</v>
      </c>
      <c r="S46" s="425">
        <f>(E46/'Population Figures'!Z6)*1000</f>
        <v>478.47862647618695</v>
      </c>
      <c r="T46" s="280">
        <f>(F46/'Population Figures'!AB6)*1000</f>
        <v>1470.7155187085168</v>
      </c>
      <c r="U46" s="425">
        <f>(G46/'Population Figures'!AA6)*1000</f>
        <v>29.821349662268794</v>
      </c>
      <c r="V46" s="425">
        <f>(H46/'Population Figures'!AA6)*1000</f>
        <v>244.39744965595605</v>
      </c>
      <c r="W46" s="425">
        <f>(I46/'Population Figures'!AA6)*1000</f>
        <v>32.857774130421063</v>
      </c>
      <c r="X46" s="500">
        <f>(J46/'Population Figures'!AA6)*1000</f>
        <v>16.318414241525158</v>
      </c>
      <c r="Y46" s="186">
        <f>(K46/'Population Figures'!AA6)*1000</f>
        <v>0</v>
      </c>
      <c r="Z46" s="186">
        <f>(L46/'Population Figures'!AA6)*1000</f>
        <v>0</v>
      </c>
      <c r="AA46" s="501">
        <f>(M46/'Population Figures'!AA6)*1000</f>
        <v>20.81307998232435</v>
      </c>
    </row>
    <row r="47" spans="1:27">
      <c r="A47" s="7" t="s">
        <v>33</v>
      </c>
      <c r="B47" s="425">
        <v>73705</v>
      </c>
      <c r="C47" s="280">
        <v>393</v>
      </c>
      <c r="D47" s="425">
        <v>114</v>
      </c>
      <c r="E47" s="425">
        <v>14306</v>
      </c>
      <c r="F47" s="280">
        <v>37491</v>
      </c>
      <c r="G47" s="425">
        <v>3914</v>
      </c>
      <c r="H47" s="425">
        <v>11903</v>
      </c>
      <c r="I47" s="425">
        <v>2826</v>
      </c>
      <c r="J47" s="425">
        <v>1089</v>
      </c>
      <c r="K47" s="280">
        <v>16</v>
      </c>
      <c r="L47" s="280">
        <v>0</v>
      </c>
      <c r="M47" s="280">
        <v>1653</v>
      </c>
      <c r="N47" s="233"/>
      <c r="O47" s="7" t="s">
        <v>33</v>
      </c>
      <c r="P47" s="425">
        <f>(B47*1000)/SUM('Population Figures'!$Z7:$AB7)</f>
        <v>634.2943201376936</v>
      </c>
      <c r="Q47" s="280">
        <f>(C47/SUM('Population Figures'!Z7:AB7))*1000</f>
        <v>3.3820998278829606</v>
      </c>
      <c r="R47" s="425">
        <f>(D47/'Population Figures'!Z7)*1000</f>
        <v>4.9278118786202132</v>
      </c>
      <c r="S47" s="425">
        <f>(E47/'Population Figures'!Z7)*1000</f>
        <v>618.39716434684874</v>
      </c>
      <c r="T47" s="280">
        <f>(F47/'Population Figures'!AB7)*1000</f>
        <v>1613.6960358111307</v>
      </c>
      <c r="U47" s="425">
        <f>(G47/'Population Figures'!AA7)*1000</f>
        <v>56.048000229118038</v>
      </c>
      <c r="V47" s="425">
        <f>(H47/'Population Figures'!AA7)*1000</f>
        <v>170.44950095227185</v>
      </c>
      <c r="W47" s="425">
        <f>(I47/'Population Figures'!AA7)*1000</f>
        <v>40.467973594146038</v>
      </c>
      <c r="X47" s="500">
        <f>(J47/'Population Figures'!AA7)*1000</f>
        <v>15.594346512393853</v>
      </c>
      <c r="Y47" s="186">
        <f>(K47/'Population Figures'!AA7)*1000</f>
        <v>0.2291180387495883</v>
      </c>
      <c r="Z47" s="186">
        <f>(L47/'Population Figures'!AA7)*1000</f>
        <v>0</v>
      </c>
      <c r="AA47" s="501">
        <f>(M47/'Population Figures'!AA7)*1000</f>
        <v>23.670757378316839</v>
      </c>
    </row>
    <row r="48" spans="1:27">
      <c r="A48" s="7" t="s">
        <v>34</v>
      </c>
      <c r="B48" s="425">
        <v>62610</v>
      </c>
      <c r="C48" s="280">
        <v>207</v>
      </c>
      <c r="D48" s="425">
        <v>55</v>
      </c>
      <c r="E48" s="425">
        <v>10593</v>
      </c>
      <c r="F48" s="280">
        <v>32576</v>
      </c>
      <c r="G48" s="425">
        <v>1436</v>
      </c>
      <c r="H48" s="425">
        <v>14044</v>
      </c>
      <c r="I48" s="425">
        <v>2970</v>
      </c>
      <c r="J48" s="425">
        <v>682</v>
      </c>
      <c r="K48" s="280">
        <v>0</v>
      </c>
      <c r="L48" s="280">
        <v>0</v>
      </c>
      <c r="M48" s="280">
        <v>47</v>
      </c>
      <c r="N48" s="233"/>
      <c r="O48" s="7" t="s">
        <v>34</v>
      </c>
      <c r="P48" s="425">
        <f>(B48*1000)/SUM('Population Figures'!$Z8:$AB8)</f>
        <v>704.03688294163953</v>
      </c>
      <c r="Q48" s="280">
        <f>(C48/SUM('Population Figures'!Z8:AB8))*1000</f>
        <v>2.3276734510288994</v>
      </c>
      <c r="R48" s="425">
        <f>(D48/'Population Figures'!Z8)*1000</f>
        <v>3.3206544708084285</v>
      </c>
      <c r="S48" s="425">
        <f>(E48/'Population Figures'!Z8)*1000</f>
        <v>639.55805107770334</v>
      </c>
      <c r="T48" s="280">
        <f>(F48/'Population Figures'!AB8)*1000</f>
        <v>1671.6785549340586</v>
      </c>
      <c r="U48" s="425">
        <f>(G48/'Population Figures'!AA8)*1000</f>
        <v>27.155824508320727</v>
      </c>
      <c r="V48" s="425">
        <f>(H48/'Population Figures'!AA8)*1000</f>
        <v>265.5824508320726</v>
      </c>
      <c r="W48" s="425">
        <f>(I48/'Population Figures'!AA8)*1000</f>
        <v>56.164901664145233</v>
      </c>
      <c r="X48" s="500">
        <f>(J48/'Population Figures'!AA8)*1000</f>
        <v>12.897125567322238</v>
      </c>
      <c r="Y48" s="186">
        <f>(K48/'Population Figures'!AA8)*1000</f>
        <v>0</v>
      </c>
      <c r="Z48" s="186">
        <f>(L48/'Population Figures'!AA8)*1000</f>
        <v>0</v>
      </c>
      <c r="AA48" s="501">
        <f>(M48/'Population Figures'!AA8)*1000</f>
        <v>0.88880484114977309</v>
      </c>
    </row>
    <row r="49" spans="1:27">
      <c r="A49" s="7" t="s">
        <v>35</v>
      </c>
      <c r="B49" s="425">
        <v>35201</v>
      </c>
      <c r="C49" s="280">
        <v>93</v>
      </c>
      <c r="D49" s="425">
        <v>3</v>
      </c>
      <c r="E49" s="425">
        <v>8303</v>
      </c>
      <c r="F49" s="280">
        <v>14384</v>
      </c>
      <c r="G49" s="425">
        <v>3142</v>
      </c>
      <c r="H49" s="425">
        <v>4786</v>
      </c>
      <c r="I49" s="425">
        <v>2259</v>
      </c>
      <c r="J49" s="425">
        <v>460</v>
      </c>
      <c r="K49" s="280">
        <v>0</v>
      </c>
      <c r="L49" s="280">
        <v>0</v>
      </c>
      <c r="M49" s="280">
        <v>1771</v>
      </c>
      <c r="N49" s="233"/>
      <c r="O49" s="7" t="s">
        <v>35</v>
      </c>
      <c r="P49" s="425">
        <f>(B49*1000)/SUM('Population Figures'!$Z9:$AB9)</f>
        <v>683.51456310679612</v>
      </c>
      <c r="Q49" s="280">
        <f>(C49/SUM('Population Figures'!Z9:AB9))*1000</f>
        <v>1.8058252427184465</v>
      </c>
      <c r="R49" s="425">
        <f>(D49/'Population Figures'!Z9)*1000</f>
        <v>0.28155795401220085</v>
      </c>
      <c r="S49" s="425">
        <f>(E49/'Population Figures'!Z9)*1000</f>
        <v>779.25856405443449</v>
      </c>
      <c r="T49" s="280">
        <f>(F49/'Population Figures'!AB9)*1000</f>
        <v>1730.0938176569643</v>
      </c>
      <c r="U49" s="425">
        <f>(G49/'Population Figures'!AA9)*1000</f>
        <v>96.584796040699644</v>
      </c>
      <c r="V49" s="425">
        <f>(H49/'Population Figures'!AA9)*1000</f>
        <v>147.12120746365008</v>
      </c>
      <c r="W49" s="425">
        <f>(I49/'Population Figures'!AA9)*1000</f>
        <v>69.441455842119822</v>
      </c>
      <c r="X49" s="500">
        <f>(J49/'Population Figures'!AA9)*1000</f>
        <v>14.140358427346223</v>
      </c>
      <c r="Y49" s="186">
        <f>(K49/'Population Figures'!AA9)*1000</f>
        <v>0</v>
      </c>
      <c r="Z49" s="186">
        <f>(L49/'Population Figures'!AA9)*1000</f>
        <v>0</v>
      </c>
      <c r="AA49" s="501">
        <f>(M49/'Population Figures'!AA9)*1000</f>
        <v>54.440379945282963</v>
      </c>
    </row>
    <row r="50" spans="1:27">
      <c r="A50" s="7" t="s">
        <v>36</v>
      </c>
      <c r="B50" s="425">
        <v>107175</v>
      </c>
      <c r="C50" s="280">
        <v>3430</v>
      </c>
      <c r="D50" s="425">
        <v>122</v>
      </c>
      <c r="E50" s="425">
        <v>19675</v>
      </c>
      <c r="F50" s="280">
        <v>53038</v>
      </c>
      <c r="G50" s="425">
        <v>6594</v>
      </c>
      <c r="H50" s="425">
        <v>16191</v>
      </c>
      <c r="I50" s="425">
        <v>4004</v>
      </c>
      <c r="J50" s="425">
        <v>480</v>
      </c>
      <c r="K50" s="280">
        <v>0</v>
      </c>
      <c r="L50" s="280">
        <v>0</v>
      </c>
      <c r="M50" s="280">
        <v>3641</v>
      </c>
      <c r="N50" s="233"/>
      <c r="O50" s="7" t="s">
        <v>36</v>
      </c>
      <c r="P50" s="425">
        <f>(B50*1000)/SUM('Population Figures'!$Z10:$AB10)</f>
        <v>707.84624529423422</v>
      </c>
      <c r="Q50" s="280">
        <f>(C50/SUM('Population Figures'!Z10:AB10))*1000</f>
        <v>22.653721682847898</v>
      </c>
      <c r="R50" s="425">
        <f>(D50/'Population Figures'!Z10)*1000</f>
        <v>4.2204310374649738</v>
      </c>
      <c r="S50" s="425">
        <f>(E50/'Population Figures'!Z10)*1000</f>
        <v>680.63098903379807</v>
      </c>
      <c r="T50" s="280">
        <f>(F50/'Population Figures'!AB10)*1000</f>
        <v>1592.5414364640885</v>
      </c>
      <c r="U50" s="425">
        <f>(G50/'Population Figures'!AA10)*1000</f>
        <v>73.92459556721488</v>
      </c>
      <c r="V50" s="425">
        <f>(H50/'Population Figures'!AA10)*1000</f>
        <v>181.51548784179195</v>
      </c>
      <c r="W50" s="425">
        <f>(I50/'Population Figures'!AA10)*1000</f>
        <v>44.88839560981625</v>
      </c>
      <c r="X50" s="500">
        <f>(J50/'Population Figures'!AA10)*1000</f>
        <v>5.3812262469310195</v>
      </c>
      <c r="Y50" s="186">
        <f>(K50/'Population Figures'!AA10)*1000</f>
        <v>0</v>
      </c>
      <c r="Z50" s="186">
        <f>(L50/'Population Figures'!AA10)*1000</f>
        <v>0</v>
      </c>
      <c r="AA50" s="501">
        <f>(M50/'Population Figures'!AA10)*1000</f>
        <v>40.818843260574674</v>
      </c>
    </row>
    <row r="51" spans="1:27">
      <c r="A51" s="7" t="s">
        <v>37</v>
      </c>
      <c r="B51" s="425">
        <v>117801</v>
      </c>
      <c r="C51" s="280">
        <v>798</v>
      </c>
      <c r="D51" s="425">
        <v>259</v>
      </c>
      <c r="E51" s="425">
        <v>31812</v>
      </c>
      <c r="F51" s="280">
        <v>48780</v>
      </c>
      <c r="G51" s="425">
        <v>7742</v>
      </c>
      <c r="H51" s="425">
        <v>17608</v>
      </c>
      <c r="I51" s="425">
        <v>4374</v>
      </c>
      <c r="J51" s="425">
        <v>1117</v>
      </c>
      <c r="K51" s="280">
        <v>225</v>
      </c>
      <c r="L51" s="280">
        <v>0</v>
      </c>
      <c r="M51" s="280">
        <v>5086</v>
      </c>
      <c r="N51" s="233"/>
      <c r="O51" s="7" t="s">
        <v>37</v>
      </c>
      <c r="P51" s="425">
        <f>(B51*1000)/SUM('Population Figures'!$Z11:$AB11)</f>
        <v>800.27853260869563</v>
      </c>
      <c r="Q51" s="280">
        <f>(C51/SUM('Population Figures'!Z11:AB11))*1000</f>
        <v>5.4211956521739131</v>
      </c>
      <c r="R51" s="425">
        <f>(D51/'Population Figures'!Z11)*1000</f>
        <v>9.6447456617263736</v>
      </c>
      <c r="S51" s="425">
        <f>(E51/'Population Figures'!Z11)*1000</f>
        <v>1184.6279883816192</v>
      </c>
      <c r="T51" s="280">
        <f>(F51/'Population Figures'!AB11)*1000</f>
        <v>1978.2626328169358</v>
      </c>
      <c r="U51" s="425">
        <f>(G51/'Population Figures'!AA11)*1000</f>
        <v>80.908786890728194</v>
      </c>
      <c r="V51" s="425">
        <f>(H51/'Population Figures'!AA11)*1000</f>
        <v>184.01471448875512</v>
      </c>
      <c r="W51" s="425">
        <f>(I51/'Population Figures'!AA11)*1000</f>
        <v>45.711060948081261</v>
      </c>
      <c r="X51" s="500">
        <f>(J51/'Population Figures'!AA11)*1000</f>
        <v>11.673355070646267</v>
      </c>
      <c r="Y51" s="186">
        <f>(K51/'Population Figures'!AA11)*1000</f>
        <v>2.3513920240782547</v>
      </c>
      <c r="Z51" s="186">
        <f>(L51/'Population Figures'!AA11)*1000</f>
        <v>0</v>
      </c>
      <c r="AA51" s="501">
        <f>(M51/'Population Figures'!AA11)*1000</f>
        <v>53.151910375386677</v>
      </c>
    </row>
    <row r="52" spans="1:27">
      <c r="A52" s="7" t="s">
        <v>38</v>
      </c>
      <c r="B52" s="425">
        <v>85292</v>
      </c>
      <c r="C52" s="280">
        <v>745</v>
      </c>
      <c r="D52" s="425">
        <v>66</v>
      </c>
      <c r="E52" s="425">
        <v>23068</v>
      </c>
      <c r="F52" s="280">
        <v>38414</v>
      </c>
      <c r="G52" s="425">
        <v>3860</v>
      </c>
      <c r="H52" s="425">
        <v>13675</v>
      </c>
      <c r="I52" s="425">
        <v>2445</v>
      </c>
      <c r="J52" s="425">
        <v>493</v>
      </c>
      <c r="K52" s="280">
        <v>0</v>
      </c>
      <c r="L52" s="280">
        <v>0</v>
      </c>
      <c r="M52" s="280">
        <v>2526</v>
      </c>
      <c r="N52" s="233"/>
      <c r="O52" s="7" t="s">
        <v>38</v>
      </c>
      <c r="P52" s="425">
        <f>(B52*1000)/SUM('Population Figures'!$Z12:$AB12)</f>
        <v>695.18298149808459</v>
      </c>
      <c r="Q52" s="280">
        <f>(C52/SUM('Population Figures'!Z12:AB12))*1000</f>
        <v>6.072214524411117</v>
      </c>
      <c r="R52" s="425">
        <f>(D52/'Population Figures'!Z12)*1000</f>
        <v>2.6744468757597857</v>
      </c>
      <c r="S52" s="425">
        <f>(E52/'Population Figures'!Z12)*1000</f>
        <v>934.75970500040512</v>
      </c>
      <c r="T52" s="280">
        <f>(F52/'Population Figures'!AB12)*1000</f>
        <v>1792.7011386970319</v>
      </c>
      <c r="U52" s="425">
        <f>(G52/'Population Figures'!AA12)*1000</f>
        <v>50.402172777603681</v>
      </c>
      <c r="V52" s="425">
        <f>(H52/'Population Figures'!AA12)*1000</f>
        <v>178.56210174448972</v>
      </c>
      <c r="W52" s="425">
        <f>(I52/'Population Figures'!AA12)*1000</f>
        <v>31.925728611720466</v>
      </c>
      <c r="X52" s="500">
        <f>(J52/'Population Figures'!AA12)*1000</f>
        <v>6.4373759532017134</v>
      </c>
      <c r="Y52" s="186">
        <f>(K52/'Population Figures'!AA12)*1000</f>
        <v>0</v>
      </c>
      <c r="Z52" s="186">
        <f>(L52/'Population Figures'!AA12)*1000</f>
        <v>0</v>
      </c>
      <c r="AA52" s="501">
        <f>(M52/'Population Figures'!AA12)*1000</f>
        <v>32.983390786587279</v>
      </c>
    </row>
    <row r="53" spans="1:27">
      <c r="A53" s="7" t="s">
        <v>39</v>
      </c>
      <c r="B53" s="425">
        <v>72781</v>
      </c>
      <c r="C53" s="280">
        <v>1336</v>
      </c>
      <c r="D53" s="425">
        <v>6</v>
      </c>
      <c r="E53" s="425">
        <v>11322</v>
      </c>
      <c r="F53" s="280">
        <v>35978</v>
      </c>
      <c r="G53" s="425">
        <v>4214</v>
      </c>
      <c r="H53" s="425">
        <v>15880</v>
      </c>
      <c r="I53" s="425">
        <v>3143</v>
      </c>
      <c r="J53" s="425">
        <v>872</v>
      </c>
      <c r="K53" s="280">
        <v>0</v>
      </c>
      <c r="L53" s="280">
        <v>0</v>
      </c>
      <c r="M53" s="280">
        <v>30</v>
      </c>
      <c r="N53" s="233"/>
      <c r="O53" s="7" t="s">
        <v>39</v>
      </c>
      <c r="P53" s="425">
        <f>(B53*1000)/SUM('Population Figures'!$Z13:$AB13)</f>
        <v>693.15238095238101</v>
      </c>
      <c r="Q53" s="280">
        <f>(C53/SUM('Population Figures'!Z13:AB13))*1000</f>
        <v>12.723809523809525</v>
      </c>
      <c r="R53" s="425">
        <f>(D53/'Population Figures'!Z13)*1000</f>
        <v>0.27970723975572237</v>
      </c>
      <c r="S53" s="425">
        <f>(E53/'Population Figures'!Z13)*1000</f>
        <v>527.80756141904806</v>
      </c>
      <c r="T53" s="280">
        <f>(F53/'Population Figures'!AB13)*1000</f>
        <v>1744.8954847470779</v>
      </c>
      <c r="U53" s="425">
        <f>(G53/'Population Figures'!AA13)*1000</f>
        <v>66.963292547274747</v>
      </c>
      <c r="V53" s="425">
        <f>(H53/'Population Figures'!AA13)*1000</f>
        <v>252.34387414587638</v>
      </c>
      <c r="W53" s="425">
        <f>(I53/'Population Figures'!AA13)*1000</f>
        <v>49.944382647385986</v>
      </c>
      <c r="X53" s="500">
        <f>(J53/'Population Figures'!AA13)*1000</f>
        <v>13.856666136977594</v>
      </c>
      <c r="Y53" s="186">
        <f>(K53/'Population Figures'!AA13)*1000</f>
        <v>0</v>
      </c>
      <c r="Z53" s="186">
        <f>(L53/'Population Figures'!AA13)*1000</f>
        <v>0</v>
      </c>
      <c r="AA53" s="501">
        <f>(M53/'Population Figures'!AA13)*1000</f>
        <v>0.4767201652629906</v>
      </c>
    </row>
    <row r="54" spans="1:27">
      <c r="A54" s="7" t="s">
        <v>40</v>
      </c>
      <c r="B54" s="425">
        <v>61275</v>
      </c>
      <c r="C54" s="280">
        <v>479</v>
      </c>
      <c r="D54" s="425">
        <v>54</v>
      </c>
      <c r="E54" s="425">
        <v>11758</v>
      </c>
      <c r="F54" s="280">
        <v>28397</v>
      </c>
      <c r="G54" s="425">
        <v>5134</v>
      </c>
      <c r="H54" s="425">
        <v>11329</v>
      </c>
      <c r="I54" s="425">
        <v>1850</v>
      </c>
      <c r="J54" s="425">
        <v>1049</v>
      </c>
      <c r="K54" s="280">
        <v>0</v>
      </c>
      <c r="L54" s="280">
        <v>0</v>
      </c>
      <c r="M54" s="280">
        <v>1225</v>
      </c>
      <c r="N54" s="233"/>
      <c r="O54" s="7" t="s">
        <v>40</v>
      </c>
      <c r="P54" s="425">
        <f>(B54*1000)/SUM('Population Figures'!$Z14:$AB14)</f>
        <v>613.24059247397918</v>
      </c>
      <c r="Q54" s="280">
        <f>(C54/SUM('Population Figures'!Z14:AB14))*1000</f>
        <v>4.7938350680544435</v>
      </c>
      <c r="R54" s="425">
        <f>(D54/'Population Figures'!Z14)*1000</f>
        <v>2.5395033860045144</v>
      </c>
      <c r="S54" s="425">
        <f>(E54/'Population Figures'!Z14)*1000</f>
        <v>552.95334838224232</v>
      </c>
      <c r="T54" s="280">
        <f>(F54/'Population Figures'!AB14)*1000</f>
        <v>1585.4502819496399</v>
      </c>
      <c r="U54" s="425">
        <f>(G54/'Population Figures'!AA14)*1000</f>
        <v>84.517244217631088</v>
      </c>
      <c r="V54" s="425">
        <f>(H54/'Population Figures'!AA14)*1000</f>
        <v>186.50094657996544</v>
      </c>
      <c r="W54" s="425">
        <f>(I54/'Population Figures'!AA14)*1000</f>
        <v>30.45518149641946</v>
      </c>
      <c r="X54" s="500">
        <f>(J54/'Population Figures'!AA14)*1000</f>
        <v>17.268911021483252</v>
      </c>
      <c r="Y54" s="186">
        <f>(K54/'Population Figures'!AA14)*1000</f>
        <v>0</v>
      </c>
      <c r="Z54" s="186">
        <f>(L54/'Population Figures'!AA14)*1000</f>
        <v>0</v>
      </c>
      <c r="AA54" s="501">
        <f>(M54/'Population Figures'!AA14)*1000</f>
        <v>20.16626882871018</v>
      </c>
    </row>
    <row r="55" spans="1:27">
      <c r="A55" s="7" t="s">
        <v>41</v>
      </c>
      <c r="B55" s="425">
        <v>53665</v>
      </c>
      <c r="C55" s="280">
        <v>1386</v>
      </c>
      <c r="D55" s="425">
        <v>0</v>
      </c>
      <c r="E55" s="425">
        <v>6996</v>
      </c>
      <c r="F55" s="280">
        <v>25253</v>
      </c>
      <c r="G55" s="425">
        <v>2816</v>
      </c>
      <c r="H55" s="425">
        <v>12532</v>
      </c>
      <c r="I55" s="425">
        <v>2500</v>
      </c>
      <c r="J55" s="425">
        <v>792</v>
      </c>
      <c r="K55" s="280">
        <v>0</v>
      </c>
      <c r="L55" s="280">
        <v>0</v>
      </c>
      <c r="M55" s="280">
        <v>1390</v>
      </c>
      <c r="N55" s="233"/>
      <c r="O55" s="7" t="s">
        <v>41</v>
      </c>
      <c r="P55" s="425">
        <f>(B55*1000)/SUM('Population Figures'!$Z15:$AB15)</f>
        <v>590.95914546856068</v>
      </c>
      <c r="Q55" s="280">
        <f>(C55/SUM('Population Figures'!Z15:AB15))*1000</f>
        <v>15.262636273538156</v>
      </c>
      <c r="R55" s="425">
        <f>(D55/'Population Figures'!Z15)*1000</f>
        <v>0</v>
      </c>
      <c r="S55" s="425">
        <f>(E55/'Population Figures'!Z15)*1000</f>
        <v>341.38486312399357</v>
      </c>
      <c r="T55" s="280">
        <f>(F55/'Population Figures'!AB15)*1000</f>
        <v>1543.39322821171</v>
      </c>
      <c r="U55" s="425">
        <f>(G55/'Population Figures'!AA15)*1000</f>
        <v>52.191641182466874</v>
      </c>
      <c r="V55" s="425">
        <f>(H55/'Population Figures'!AA15)*1000</f>
        <v>232.26763043276804</v>
      </c>
      <c r="W55" s="425">
        <f>(I55/'Population Figures'!AA15)*1000</f>
        <v>46.334908720229819</v>
      </c>
      <c r="X55" s="500">
        <f>(J55/'Population Figures'!AA15)*1000</f>
        <v>14.678899082568808</v>
      </c>
      <c r="Y55" s="186">
        <f>(K55/'Population Figures'!AA15)*1000</f>
        <v>0</v>
      </c>
      <c r="Z55" s="186">
        <f>(L55/'Population Figures'!AA15)*1000</f>
        <v>0</v>
      </c>
      <c r="AA55" s="501">
        <f>(M55/'Population Figures'!AA15)*1000</f>
        <v>25.762209248447782</v>
      </c>
    </row>
    <row r="56" spans="1:27">
      <c r="A56" s="7" t="s">
        <v>140</v>
      </c>
      <c r="B56" s="425">
        <v>337400</v>
      </c>
      <c r="C56" s="280">
        <v>1134</v>
      </c>
      <c r="D56" s="425">
        <v>185</v>
      </c>
      <c r="E56" s="425">
        <v>90384</v>
      </c>
      <c r="F56" s="280">
        <v>127628</v>
      </c>
      <c r="G56" s="425">
        <v>21536</v>
      </c>
      <c r="H56" s="425">
        <v>62209</v>
      </c>
      <c r="I56" s="425">
        <v>14177</v>
      </c>
      <c r="J56" s="425">
        <v>4246</v>
      </c>
      <c r="K56" s="280">
        <v>1535</v>
      </c>
      <c r="L56" s="280">
        <v>278</v>
      </c>
      <c r="M56" s="280">
        <v>14088</v>
      </c>
      <c r="N56" s="233"/>
      <c r="O56" s="7" t="s">
        <v>140</v>
      </c>
      <c r="P56" s="425">
        <f>(B56*1000)/SUM('Population Figures'!$Z16:$AB16)</f>
        <v>705.94635309871535</v>
      </c>
      <c r="Q56" s="280">
        <f>(C56/SUM('Population Figures'!Z16:AB16))*1000</f>
        <v>2.3726827635268029</v>
      </c>
      <c r="R56" s="425">
        <f>(D56/'Population Figures'!Z16)*1000</f>
        <v>2.2682965705808065</v>
      </c>
      <c r="S56" s="425">
        <f>(E56/'Population Figures'!Z16)*1000</f>
        <v>1108.2038769479764</v>
      </c>
      <c r="T56" s="280">
        <f>(F56/'Population Figures'!AB16)*1000</f>
        <v>1854.2496004649136</v>
      </c>
      <c r="U56" s="425">
        <f>(G56/'Population Figures'!AA16)*1000</f>
        <v>65.748539922027405</v>
      </c>
      <c r="V56" s="425">
        <f>(H56/'Population Figures'!AA16)*1000</f>
        <v>189.92156946551836</v>
      </c>
      <c r="W56" s="425">
        <f>(I56/'Population Figures'!AA16)*1000</f>
        <v>43.281809550268505</v>
      </c>
      <c r="X56" s="500">
        <f>(J56/'Population Figures'!AA16)*1000</f>
        <v>12.962866851268963</v>
      </c>
      <c r="Y56" s="186">
        <f>(K56/'Population Figures'!AA16)*1000</f>
        <v>4.6862931268718455</v>
      </c>
      <c r="Z56" s="186">
        <f>(L56/'Population Figures'!AA16)*1000</f>
        <v>0.84872279431294673</v>
      </c>
      <c r="AA56" s="501">
        <f>(M56/'Population Figures'!AA16)*1000</f>
        <v>43.010096137700693</v>
      </c>
    </row>
    <row r="57" spans="1:27">
      <c r="A57" s="7" t="s">
        <v>42</v>
      </c>
      <c r="B57" s="425">
        <v>26976</v>
      </c>
      <c r="C57" s="280">
        <v>733</v>
      </c>
      <c r="D57" s="425">
        <v>27</v>
      </c>
      <c r="E57" s="425">
        <v>4141</v>
      </c>
      <c r="F57" s="280">
        <v>15777</v>
      </c>
      <c r="G57" s="425">
        <v>1306</v>
      </c>
      <c r="H57" s="425">
        <v>3527</v>
      </c>
      <c r="I57" s="425">
        <v>1016</v>
      </c>
      <c r="J57" s="425">
        <v>95</v>
      </c>
      <c r="K57" s="280">
        <v>0</v>
      </c>
      <c r="L57" s="280">
        <v>0</v>
      </c>
      <c r="M57" s="280">
        <v>354</v>
      </c>
      <c r="N57" s="233"/>
      <c r="O57" s="7" t="s">
        <v>42</v>
      </c>
      <c r="P57" s="425">
        <f>(B57*1000)/SUM('Population Figures'!$Z17:$AB17)</f>
        <v>974.21451787648971</v>
      </c>
      <c r="Q57" s="280">
        <f>(C57/SUM('Population Figures'!Z17:AB17))*1000</f>
        <v>26.471650415312389</v>
      </c>
      <c r="R57" s="425">
        <f>(D57/'Population Figures'!Z17)*1000</f>
        <v>5.0656660412757981</v>
      </c>
      <c r="S57" s="425">
        <f>(E57/'Population Figures'!Z17)*1000</f>
        <v>776.92307692307691</v>
      </c>
      <c r="T57" s="280">
        <f>(F57/'Population Figures'!AB17)*1000</f>
        <v>2620.3288490284008</v>
      </c>
      <c r="U57" s="425">
        <f>(G57/'Population Figures'!AA17)*1000</f>
        <v>79.9314523532652</v>
      </c>
      <c r="V57" s="425">
        <f>(H57/'Population Figures'!AA17)*1000</f>
        <v>215.86388395862659</v>
      </c>
      <c r="W57" s="425">
        <f>(I57/'Population Figures'!AA17)*1000</f>
        <v>62.182508109431417</v>
      </c>
      <c r="X57" s="500">
        <f>(J57/'Population Figures'!AA17)*1000</f>
        <v>5.8143093212558909</v>
      </c>
      <c r="Y57" s="186">
        <f>(K57/'Population Figures'!AA17)*1000</f>
        <v>0</v>
      </c>
      <c r="Z57" s="186">
        <f>(L57/'Population Figures'!AA17)*1000</f>
        <v>0</v>
      </c>
      <c r="AA57" s="501">
        <f>(M57/'Population Figures'!AA17)*1000</f>
        <v>21.665952628679847</v>
      </c>
    </row>
    <row r="58" spans="1:27">
      <c r="A58" s="7" t="s">
        <v>43</v>
      </c>
      <c r="B58" s="425">
        <v>102059</v>
      </c>
      <c r="C58" s="280">
        <v>564</v>
      </c>
      <c r="D58" s="425">
        <v>85</v>
      </c>
      <c r="E58" s="425">
        <v>23253</v>
      </c>
      <c r="F58" s="280">
        <v>47527</v>
      </c>
      <c r="G58" s="425">
        <v>7000</v>
      </c>
      <c r="H58" s="425">
        <v>15111</v>
      </c>
      <c r="I58" s="425">
        <v>4616</v>
      </c>
      <c r="J58" s="425">
        <v>391</v>
      </c>
      <c r="K58" s="280">
        <v>0</v>
      </c>
      <c r="L58" s="280">
        <v>0</v>
      </c>
      <c r="M58" s="280">
        <v>3512</v>
      </c>
      <c r="N58" s="233"/>
      <c r="O58" s="7" t="s">
        <v>43</v>
      </c>
      <c r="P58" s="425">
        <f>(B58*1000)/SUM('Population Figures'!$Z18:$AB18)</f>
        <v>653.17759999999998</v>
      </c>
      <c r="Q58" s="280">
        <f>(C58/SUM('Population Figures'!Z18:AB18))*1000</f>
        <v>3.6095999999999999</v>
      </c>
      <c r="R58" s="425">
        <f>(D58/'Population Figures'!Z18)*1000</f>
        <v>2.6455849855270936</v>
      </c>
      <c r="S58" s="425">
        <f>(E58/'Population Figures'!Z18)*1000</f>
        <v>723.73867845248844</v>
      </c>
      <c r="T58" s="280">
        <f>(F58/'Population Figures'!AB18)*1000</f>
        <v>1865.4865172508537</v>
      </c>
      <c r="U58" s="425">
        <f>(G58/'Population Figures'!AA18)*1000</f>
        <v>70.962248084019294</v>
      </c>
      <c r="V58" s="425">
        <f>(H58/'Population Figures'!AA18)*1000</f>
        <v>153.18721868537367</v>
      </c>
      <c r="W58" s="425">
        <f>(I58/'Population Figures'!AA18)*1000</f>
        <v>46.794533879404732</v>
      </c>
      <c r="X58" s="500">
        <f>(J58/'Population Figures'!AA18)*1000</f>
        <v>3.9637484286930782</v>
      </c>
      <c r="Y58" s="186">
        <f>(K58/'Population Figures'!AA18)*1000</f>
        <v>0</v>
      </c>
      <c r="Z58" s="186">
        <f>(L58/'Population Figures'!AA18)*1000</f>
        <v>0</v>
      </c>
      <c r="AA58" s="501">
        <f>(M58/'Population Figures'!AA18)*1000</f>
        <v>35.602773610153683</v>
      </c>
    </row>
    <row r="59" spans="1:27">
      <c r="A59" s="7" t="s">
        <v>44</v>
      </c>
      <c r="B59" s="425">
        <v>240648</v>
      </c>
      <c r="C59" s="280">
        <v>1084</v>
      </c>
      <c r="D59" s="425">
        <v>225</v>
      </c>
      <c r="E59" s="425">
        <v>42278</v>
      </c>
      <c r="F59" s="280">
        <v>103634</v>
      </c>
      <c r="G59" s="425">
        <v>20257</v>
      </c>
      <c r="H59" s="425">
        <v>54994</v>
      </c>
      <c r="I59" s="425">
        <v>10256</v>
      </c>
      <c r="J59" s="425">
        <v>1115</v>
      </c>
      <c r="K59" s="280">
        <v>165</v>
      </c>
      <c r="L59" s="280">
        <v>0</v>
      </c>
      <c r="M59" s="280">
        <v>6640</v>
      </c>
      <c r="N59" s="233"/>
      <c r="O59" s="7" t="s">
        <v>44</v>
      </c>
      <c r="P59" s="425">
        <f>(B59*1000)/SUM('Population Figures'!$Z19:$AB19)</f>
        <v>658.76813577881194</v>
      </c>
      <c r="Q59" s="280">
        <f>(C59/SUM('Population Figures'!Z19:AB19))*1000</f>
        <v>2.9674240350396937</v>
      </c>
      <c r="R59" s="425">
        <f>(D59/'Population Figures'!Z19)*1000</f>
        <v>3.0704567474992834</v>
      </c>
      <c r="S59" s="425">
        <f>(E59/'Population Figures'!Z19)*1000</f>
        <v>576.94564609233203</v>
      </c>
      <c r="T59" s="280">
        <f>(F59/'Population Figures'!AB19)*1000</f>
        <v>1604.315989906652</v>
      </c>
      <c r="U59" s="425">
        <f>(G59/'Population Figures'!AA19)*1000</f>
        <v>89.071514000281425</v>
      </c>
      <c r="V59" s="425">
        <f>(H59/'Population Figures'!AA19)*1000</f>
        <v>241.81264950049248</v>
      </c>
      <c r="W59" s="425">
        <f>(I59/'Population Figures'!AA19)*1000</f>
        <v>45.096383846911493</v>
      </c>
      <c r="X59" s="500">
        <f>(J59/'Population Figures'!AA19)*1000</f>
        <v>4.9027367384269036</v>
      </c>
      <c r="Y59" s="186">
        <f>(K59/'Population Figures'!AA19)*1000</f>
        <v>0.72551709582102153</v>
      </c>
      <c r="Z59" s="186">
        <f>(L59/'Population Figures'!AA19)*1000</f>
        <v>0</v>
      </c>
      <c r="AA59" s="501">
        <f>(M59/'Population Figures'!AA19)*1000</f>
        <v>29.196566765161108</v>
      </c>
    </row>
    <row r="60" spans="1:27">
      <c r="A60" s="7" t="s">
        <v>45</v>
      </c>
      <c r="B60" s="425">
        <v>535798</v>
      </c>
      <c r="C60" s="280">
        <v>583</v>
      </c>
      <c r="D60" s="425">
        <v>361</v>
      </c>
      <c r="E60" s="425">
        <v>144317</v>
      </c>
      <c r="F60" s="280">
        <v>221457</v>
      </c>
      <c r="G60" s="425">
        <v>31171</v>
      </c>
      <c r="H60" s="425">
        <v>72307</v>
      </c>
      <c r="I60" s="425">
        <v>23768</v>
      </c>
      <c r="J60" s="425">
        <v>23426</v>
      </c>
      <c r="K60" s="280">
        <v>12</v>
      </c>
      <c r="L60" s="280">
        <v>99</v>
      </c>
      <c r="M60" s="280">
        <v>18297</v>
      </c>
      <c r="N60" s="233"/>
      <c r="O60" s="7" t="s">
        <v>45</v>
      </c>
      <c r="P60" s="425">
        <f>(B60*1000)/SUM('Population Figures'!$Z20:$AB20)</f>
        <v>903.4465315482413</v>
      </c>
      <c r="Q60" s="280">
        <f>(C60/SUM('Population Figures'!Z20:AB20))*1000</f>
        <v>0.98303712946413513</v>
      </c>
      <c r="R60" s="425">
        <f>(D60/'Population Figures'!Z20)*1000</f>
        <v>3.3304733700515716</v>
      </c>
      <c r="S60" s="425">
        <f>(E60/'Population Figures'!Z20)*1000</f>
        <v>1331.4236159161569</v>
      </c>
      <c r="T60" s="280">
        <f>(F60/'Population Figures'!AB20)*1000</f>
        <v>2692.4535871904291</v>
      </c>
      <c r="U60" s="425">
        <f>(G60/'Population Figures'!AA20)*1000</f>
        <v>77.459643751739492</v>
      </c>
      <c r="V60" s="425">
        <f>(H60/'Population Figures'!AA20)*1000</f>
        <v>179.68221939485508</v>
      </c>
      <c r="W60" s="425">
        <f>(I60/'Population Figures'!AA20)*1000</f>
        <v>59.063257922150214</v>
      </c>
      <c r="X60" s="500">
        <f>(J60/'Population Figures'!AA20)*1000</f>
        <v>58.213391117649401</v>
      </c>
      <c r="Y60" s="186">
        <f>(K60/'Population Figures'!AA20)*1000</f>
        <v>2.981988787722158E-2</v>
      </c>
      <c r="Z60" s="186">
        <f>(L60/'Population Figures'!AA20)*1000</f>
        <v>0.24601407498707803</v>
      </c>
      <c r="AA60" s="501">
        <f>(M60/'Population Figures'!AA20)*1000</f>
        <v>45.46787404079361</v>
      </c>
    </row>
    <row r="61" spans="1:27">
      <c r="A61" s="7" t="s">
        <v>46</v>
      </c>
      <c r="B61" s="425">
        <v>143816</v>
      </c>
      <c r="C61" s="280">
        <v>472</v>
      </c>
      <c r="D61" s="425">
        <v>90</v>
      </c>
      <c r="E61" s="425">
        <v>33489</v>
      </c>
      <c r="F61" s="280">
        <v>65746</v>
      </c>
      <c r="G61" s="425">
        <v>8348</v>
      </c>
      <c r="H61" s="425">
        <v>26450</v>
      </c>
      <c r="I61" s="425">
        <v>5237</v>
      </c>
      <c r="J61" s="425">
        <v>567</v>
      </c>
      <c r="K61" s="280">
        <v>0</v>
      </c>
      <c r="L61" s="280">
        <v>0</v>
      </c>
      <c r="M61" s="280">
        <v>3417</v>
      </c>
      <c r="N61" s="233"/>
      <c r="O61" s="7" t="s">
        <v>46</v>
      </c>
      <c r="P61" s="425">
        <f>(B61*1000)/SUM('Population Figures'!$Z21:$AB21)</f>
        <v>617.95213337343705</v>
      </c>
      <c r="Q61" s="280">
        <f>(C61/SUM('Population Figures'!Z21:AB21))*1000</f>
        <v>2.0281012331886736</v>
      </c>
      <c r="R61" s="425">
        <f>(D61/'Population Figures'!Z21)*1000</f>
        <v>1.9094091439482337</v>
      </c>
      <c r="S61" s="425">
        <f>(E61/'Population Figures'!Z21)*1000</f>
        <v>710.49114246313786</v>
      </c>
      <c r="T61" s="280">
        <f>(F61/'Population Figures'!AB21)*1000</f>
        <v>1514.0475313190861</v>
      </c>
      <c r="U61" s="425">
        <f>(G61/'Population Figures'!AA21)*1000</f>
        <v>58.718022662849663</v>
      </c>
      <c r="V61" s="425">
        <f>(H61/'Population Figures'!AA21)*1000</f>
        <v>186.04356725351863</v>
      </c>
      <c r="W61" s="425">
        <f>(I61/'Population Figures'!AA21)*1000</f>
        <v>36.835922937870592</v>
      </c>
      <c r="X61" s="500">
        <f>(J61/'Population Figures'!AA21)*1000</f>
        <v>3.988155108988471</v>
      </c>
      <c r="Y61" s="186">
        <f>(K61/'Population Figures'!AA21)*1000</f>
        <v>0</v>
      </c>
      <c r="Z61" s="186">
        <f>(L61/'Population Figures'!AA21)*1000</f>
        <v>0</v>
      </c>
      <c r="AA61" s="501">
        <f>(M61/'Population Figures'!AA21)*1000</f>
        <v>24.034437402845871</v>
      </c>
    </row>
    <row r="62" spans="1:27">
      <c r="A62" s="7" t="s">
        <v>47</v>
      </c>
      <c r="B62" s="425">
        <v>63050</v>
      </c>
      <c r="C62" s="280">
        <v>2804</v>
      </c>
      <c r="D62" s="425">
        <v>14</v>
      </c>
      <c r="E62" s="425">
        <v>11962</v>
      </c>
      <c r="F62" s="280">
        <v>29160</v>
      </c>
      <c r="G62" s="425">
        <v>3261</v>
      </c>
      <c r="H62" s="425">
        <v>8643</v>
      </c>
      <c r="I62" s="425">
        <v>3012</v>
      </c>
      <c r="J62" s="425">
        <v>2198</v>
      </c>
      <c r="K62" s="280">
        <v>0</v>
      </c>
      <c r="L62" s="280">
        <v>0</v>
      </c>
      <c r="M62" s="280">
        <v>1996</v>
      </c>
      <c r="N62" s="233"/>
      <c r="O62" s="7" t="s">
        <v>47</v>
      </c>
      <c r="P62" s="425">
        <f>(B62*1000)/SUM('Population Figures'!$Z22:$AB22)</f>
        <v>776.28662890913563</v>
      </c>
      <c r="Q62" s="280">
        <f>(C62/SUM('Population Figures'!Z22:AB22))*1000</f>
        <v>34.523516375277026</v>
      </c>
      <c r="R62" s="425">
        <f>(D62/'Population Figures'!Z22)*1000</f>
        <v>0.89399744572158368</v>
      </c>
      <c r="S62" s="425">
        <f>(E62/'Population Figures'!Z22)*1000</f>
        <v>763.85696040868459</v>
      </c>
      <c r="T62" s="280">
        <f>(F62/'Population Figures'!AB22)*1000</f>
        <v>1965.3568780750825</v>
      </c>
      <c r="U62" s="425">
        <f>(G62/'Population Figures'!AA22)*1000</f>
        <v>64.29036137452438</v>
      </c>
      <c r="V62" s="425">
        <f>(H62/'Population Figures'!AA22)*1000</f>
        <v>170.39607278749287</v>
      </c>
      <c r="W62" s="425">
        <f>(I62/'Population Figures'!AA22)*1000</f>
        <v>59.381345740591058</v>
      </c>
      <c r="X62" s="500">
        <f>(J62/'Population Figures'!AA22)*1000</f>
        <v>43.333399049740748</v>
      </c>
      <c r="Y62" s="186">
        <f>(K62/'Population Figures'!AA22)*1000</f>
        <v>0</v>
      </c>
      <c r="Z62" s="186">
        <f>(L62/'Population Figures'!AA22)*1000</f>
        <v>0</v>
      </c>
      <c r="AA62" s="501">
        <f>(M62/'Population Figures'!AA22)*1000</f>
        <v>39.350984760365122</v>
      </c>
    </row>
    <row r="63" spans="1:27">
      <c r="A63" s="7" t="s">
        <v>48</v>
      </c>
      <c r="B63" s="425">
        <v>58134</v>
      </c>
      <c r="C63" s="280">
        <v>1206</v>
      </c>
      <c r="D63" s="425">
        <v>100</v>
      </c>
      <c r="E63" s="425">
        <v>16313</v>
      </c>
      <c r="F63" s="280">
        <v>22542</v>
      </c>
      <c r="G63" s="425">
        <v>3517</v>
      </c>
      <c r="H63" s="425">
        <v>10818</v>
      </c>
      <c r="I63" s="425">
        <v>1971</v>
      </c>
      <c r="J63" s="425">
        <v>702</v>
      </c>
      <c r="K63" s="280">
        <v>2</v>
      </c>
      <c r="L63" s="280">
        <v>0</v>
      </c>
      <c r="M63" s="280">
        <v>963</v>
      </c>
      <c r="N63" s="233"/>
      <c r="O63" s="7" t="s">
        <v>48</v>
      </c>
      <c r="P63" s="425">
        <f>(B63*1000)/SUM('Population Figures'!$Z23:$AB23)</f>
        <v>696.63271420011984</v>
      </c>
      <c r="Q63" s="280">
        <f>(C63/SUM('Population Figures'!Z23:AB23))*1000</f>
        <v>14.45176752546435</v>
      </c>
      <c r="R63" s="425">
        <f>(D63/'Population Figures'!Z23)*1000</f>
        <v>5.626195566557894</v>
      </c>
      <c r="S63" s="425">
        <f>(E63/'Population Figures'!Z23)*1000</f>
        <v>917.80128277258916</v>
      </c>
      <c r="T63" s="280">
        <f>(F63/'Population Figures'!AB23)*1000</f>
        <v>1601.6768509307944</v>
      </c>
      <c r="U63" s="425">
        <f>(G63/'Population Figures'!AA23)*1000</f>
        <v>68.156273012673921</v>
      </c>
      <c r="V63" s="425">
        <f>(H63/'Population Figures'!AA23)*1000</f>
        <v>209.6430370915856</v>
      </c>
      <c r="W63" s="425">
        <f>(I63/'Population Figures'!AA23)*1000</f>
        <v>38.196193945971089</v>
      </c>
      <c r="X63" s="500">
        <f>(J63/'Population Figures'!AA23)*1000</f>
        <v>13.604123871167785</v>
      </c>
      <c r="Y63" s="186">
        <f>(K63/'Population Figures'!AA23)*1000</f>
        <v>3.8758187667144686E-2</v>
      </c>
      <c r="Z63" s="186">
        <f>(L63/'Population Figures'!AA23)*1000</f>
        <v>0</v>
      </c>
      <c r="AA63" s="501">
        <f>(M63/'Population Figures'!AA23)*1000</f>
        <v>18.662067361730163</v>
      </c>
    </row>
    <row r="64" spans="1:27">
      <c r="A64" s="7" t="s">
        <v>49</v>
      </c>
      <c r="B64" s="425">
        <v>58312</v>
      </c>
      <c r="C64" s="280">
        <v>520</v>
      </c>
      <c r="D64" s="425">
        <v>47</v>
      </c>
      <c r="E64" s="425">
        <v>13702</v>
      </c>
      <c r="F64" s="280">
        <v>26837</v>
      </c>
      <c r="G64" s="425">
        <v>3520</v>
      </c>
      <c r="H64" s="425">
        <v>10497</v>
      </c>
      <c r="I64" s="425">
        <v>1398</v>
      </c>
      <c r="J64" s="425">
        <v>907</v>
      </c>
      <c r="K64" s="280">
        <v>0</v>
      </c>
      <c r="L64" s="280">
        <v>0</v>
      </c>
      <c r="M64" s="280">
        <v>884</v>
      </c>
      <c r="N64" s="233"/>
      <c r="O64" s="7" t="s">
        <v>49</v>
      </c>
      <c r="P64" s="425">
        <f>(B64*1000)/SUM('Population Figures'!$Z24:$AB24)</f>
        <v>623.85792232801964</v>
      </c>
      <c r="Q64" s="280">
        <f>(C64/SUM('Population Figures'!Z24:AB24))*1000</f>
        <v>5.5632823365785811</v>
      </c>
      <c r="R64" s="425">
        <f>(D64/'Population Figures'!Z24)*1000</f>
        <v>2.4138462328591239</v>
      </c>
      <c r="S64" s="425">
        <f>(E64/'Population Figures'!Z24)*1000</f>
        <v>703.71321452416419</v>
      </c>
      <c r="T64" s="280">
        <f>(F64/'Population Figures'!AB24)*1000</f>
        <v>1545.0201496833622</v>
      </c>
      <c r="U64" s="425">
        <f>(G64/'Population Figures'!AA24)*1000</f>
        <v>62.158964488159775</v>
      </c>
      <c r="V64" s="425">
        <f>(H64/'Population Figures'!AA24)*1000</f>
        <v>185.36438927051509</v>
      </c>
      <c r="W64" s="425">
        <f>(I64/'Population Figures'!AA24)*1000</f>
        <v>24.686997827968003</v>
      </c>
      <c r="X64" s="500">
        <f>(J64/'Population Figures'!AA24)*1000</f>
        <v>16.016528633738897</v>
      </c>
      <c r="Y64" s="186">
        <f>(K64/'Population Figures'!AA24)*1000</f>
        <v>0</v>
      </c>
      <c r="Z64" s="186">
        <f>(L64/'Population Figures'!AA24)*1000</f>
        <v>0</v>
      </c>
      <c r="AA64" s="501">
        <f>(M64/'Population Figures'!AA24)*1000</f>
        <v>15.610376308958307</v>
      </c>
    </row>
    <row r="65" spans="1:27">
      <c r="A65" s="7" t="s">
        <v>50</v>
      </c>
      <c r="B65" s="425">
        <v>106458</v>
      </c>
      <c r="C65" s="280">
        <v>989</v>
      </c>
      <c r="D65" s="425">
        <v>114</v>
      </c>
      <c r="E65" s="425">
        <v>23523</v>
      </c>
      <c r="F65" s="280">
        <v>51092</v>
      </c>
      <c r="G65" s="425">
        <v>5385</v>
      </c>
      <c r="H65" s="425">
        <v>15798</v>
      </c>
      <c r="I65" s="425">
        <v>3395</v>
      </c>
      <c r="J65" s="425">
        <v>1913</v>
      </c>
      <c r="K65" s="280">
        <v>0</v>
      </c>
      <c r="L65" s="280">
        <v>0</v>
      </c>
      <c r="M65" s="280">
        <v>4249</v>
      </c>
      <c r="N65" s="233"/>
      <c r="O65" s="7" t="s">
        <v>50</v>
      </c>
      <c r="P65" s="425">
        <f>(B65*1000)/SUM('Population Figures'!$Z25:$AB25)</f>
        <v>770.93200086899844</v>
      </c>
      <c r="Q65" s="280">
        <f>(C65/SUM('Population Figures'!Z25:AB25))*1000</f>
        <v>7.1619957998406836</v>
      </c>
      <c r="R65" s="425">
        <f>(D65/'Population Figures'!Z25)*1000</f>
        <v>4.0596844841707922</v>
      </c>
      <c r="S65" s="425">
        <f>(E65/'Population Figures'!Z25)*1000</f>
        <v>837.68384316797835</v>
      </c>
      <c r="T65" s="280">
        <f>(F65/'Population Figures'!AB25)*1000</f>
        <v>1960.6278061322384</v>
      </c>
      <c r="U65" s="425">
        <f>(G65/'Population Figures'!AA25)*1000</f>
        <v>64.145324597974977</v>
      </c>
      <c r="V65" s="425">
        <f>(H65/'Population Figures'!AA25)*1000</f>
        <v>188.1834425253127</v>
      </c>
      <c r="W65" s="425">
        <f>(I65/'Population Figures'!AA25)*1000</f>
        <v>40.440738534842168</v>
      </c>
      <c r="X65" s="500">
        <f>(J65/'Population Figures'!AA25)*1000</f>
        <v>22.787373436569389</v>
      </c>
      <c r="Y65" s="186">
        <f>(K65/'Population Figures'!AA25)*1000</f>
        <v>0</v>
      </c>
      <c r="Z65" s="186">
        <f>(L65/'Population Figures'!AA25)*1000</f>
        <v>0</v>
      </c>
      <c r="AA65" s="501">
        <f>(M65/'Population Figures'!AA25)*1000</f>
        <v>50.613460393091131</v>
      </c>
    </row>
    <row r="66" spans="1:27">
      <c r="A66" s="7" t="s">
        <v>51</v>
      </c>
      <c r="B66" s="425">
        <v>185915</v>
      </c>
      <c r="C66" s="280">
        <v>921</v>
      </c>
      <c r="D66" s="425">
        <v>52</v>
      </c>
      <c r="E66" s="425">
        <v>27065</v>
      </c>
      <c r="F66" s="280">
        <v>86538</v>
      </c>
      <c r="G66" s="425">
        <v>4906</v>
      </c>
      <c r="H66" s="425">
        <v>47802</v>
      </c>
      <c r="I66" s="425">
        <v>9904</v>
      </c>
      <c r="J66" s="425">
        <v>1871</v>
      </c>
      <c r="K66" s="280">
        <v>0</v>
      </c>
      <c r="L66" s="280">
        <v>39</v>
      </c>
      <c r="M66" s="280">
        <v>6817</v>
      </c>
      <c r="N66" s="233"/>
      <c r="O66" s="7" t="s">
        <v>51</v>
      </c>
      <c r="P66" s="425">
        <f>(B66*1000)/SUM('Population Figures'!$Z26:$AB26)</f>
        <v>550.50041454459313</v>
      </c>
      <c r="Q66" s="280">
        <f>(C66/SUM('Population Figures'!Z26:AB26))*1000</f>
        <v>2.7271112163922777</v>
      </c>
      <c r="R66" s="425">
        <f>(D66/'Population Figures'!Z26)*1000</f>
        <v>0.71100415663968497</v>
      </c>
      <c r="S66" s="425">
        <f>(E66/'Population Figures'!Z26)*1000</f>
        <v>370.06399037409761</v>
      </c>
      <c r="T66" s="280">
        <f>(F66/'Population Figures'!AB26)*1000</f>
        <v>1705.1486670213394</v>
      </c>
      <c r="U66" s="425">
        <f>(G66/'Population Figures'!AA26)*1000</f>
        <v>22.943137869271816</v>
      </c>
      <c r="V66" s="425">
        <f>(H66/'Population Figures'!AA26)*1000</f>
        <v>223.54828300589713</v>
      </c>
      <c r="W66" s="425">
        <f>(I66/'Population Figures'!AA26)*1000</f>
        <v>46.316518030425613</v>
      </c>
      <c r="X66" s="500">
        <f>(J66/'Population Figures'!AA26)*1000</f>
        <v>8.7498187838172772</v>
      </c>
      <c r="Y66" s="186">
        <f>(K66/'Population Figures'!AA26)*1000</f>
        <v>0</v>
      </c>
      <c r="Z66" s="186">
        <f>(L66/'Population Figures'!AA26)*1000</f>
        <v>0.18238531938475352</v>
      </c>
      <c r="AA66" s="501">
        <f>(M66/'Population Figures'!AA26)*1000</f>
        <v>31.880018519124739</v>
      </c>
    </row>
    <row r="67" spans="1:27">
      <c r="A67" s="7" t="s">
        <v>52</v>
      </c>
      <c r="B67" s="425">
        <v>21034</v>
      </c>
      <c r="C67" s="280">
        <v>692</v>
      </c>
      <c r="D67" s="425">
        <v>33</v>
      </c>
      <c r="E67" s="425">
        <v>3064</v>
      </c>
      <c r="F67" s="280">
        <v>12188</v>
      </c>
      <c r="G67" s="425">
        <v>1466</v>
      </c>
      <c r="H67" s="425">
        <v>2620</v>
      </c>
      <c r="I67" s="425">
        <v>552</v>
      </c>
      <c r="J67" s="425">
        <v>49</v>
      </c>
      <c r="K67" s="280">
        <v>0</v>
      </c>
      <c r="L67" s="280">
        <v>0</v>
      </c>
      <c r="M67" s="280">
        <v>370</v>
      </c>
      <c r="N67" s="233"/>
      <c r="O67" s="7" t="s">
        <v>52</v>
      </c>
      <c r="P67" s="425">
        <f>(B67*1000)/SUM('Population Figures'!$Z27:$AB27)</f>
        <v>981.97945845004665</v>
      </c>
      <c r="Q67" s="280">
        <f>(C67/SUM('Population Figures'!Z27:AB27))*1000</f>
        <v>32.306255835667606</v>
      </c>
      <c r="R67" s="425">
        <f>(D67/'Population Figures'!Z27)*1000</f>
        <v>7.9212674027844452</v>
      </c>
      <c r="S67" s="425">
        <f>(E67/'Population Figures'!Z27)*1000</f>
        <v>735.47767642822851</v>
      </c>
      <c r="T67" s="280">
        <f>(F67/'Population Figures'!AB27)*1000</f>
        <v>2855.0011712344808</v>
      </c>
      <c r="U67" s="425">
        <f>(G67/'Population Figures'!AA27)*1000</f>
        <v>112.89949942241047</v>
      </c>
      <c r="V67" s="425">
        <f>(H67/'Population Figures'!AA27)*1000</f>
        <v>201.77127454755487</v>
      </c>
      <c r="W67" s="425">
        <f>(I67/'Population Figures'!AA27)*1000</f>
        <v>42.510589141316906</v>
      </c>
      <c r="X67" s="500">
        <f>(J67/'Population Figures'!AA27)*1000</f>
        <v>3.7735849056603774</v>
      </c>
      <c r="Y67" s="186">
        <f>(K67/'Population Figures'!AA27)*1000</f>
        <v>0</v>
      </c>
      <c r="Z67" s="186">
        <f>(L67/'Population Figures'!AA27)*1000</f>
        <v>0</v>
      </c>
      <c r="AA67" s="501">
        <f>(M67/'Population Figures'!AA27)*1000</f>
        <v>28.494416634578361</v>
      </c>
    </row>
    <row r="68" spans="1:27">
      <c r="A68" s="7" t="s">
        <v>53</v>
      </c>
      <c r="B68" s="425">
        <v>87251</v>
      </c>
      <c r="C68" s="280">
        <v>540</v>
      </c>
      <c r="D68" s="425">
        <v>0</v>
      </c>
      <c r="E68" s="425">
        <v>16709</v>
      </c>
      <c r="F68" s="280">
        <v>43849</v>
      </c>
      <c r="G68" s="425">
        <v>3506</v>
      </c>
      <c r="H68" s="425">
        <v>14527</v>
      </c>
      <c r="I68" s="425">
        <v>4141</v>
      </c>
      <c r="J68" s="425">
        <v>1246</v>
      </c>
      <c r="K68" s="280">
        <v>0</v>
      </c>
      <c r="L68" s="280">
        <v>0</v>
      </c>
      <c r="M68" s="280">
        <v>2733</v>
      </c>
      <c r="N68" s="233"/>
      <c r="O68" s="7" t="s">
        <v>53</v>
      </c>
      <c r="P68" s="425">
        <f>(B68*1000)/SUM('Population Figures'!$Z28:$AB28)</f>
        <v>594.15049370105555</v>
      </c>
      <c r="Q68" s="280">
        <f>(C68/SUM('Population Figures'!Z28:AB28))*1000</f>
        <v>3.6772216547497445</v>
      </c>
      <c r="R68" s="425">
        <f>(D68/'Population Figures'!Z28)*1000</f>
        <v>0</v>
      </c>
      <c r="S68" s="425">
        <f>(E68/'Population Figures'!Z28)*1000</f>
        <v>581.24326016627822</v>
      </c>
      <c r="T68" s="280">
        <f>(F68/'Population Figures'!AB28)*1000</f>
        <v>1469.4705093833779</v>
      </c>
      <c r="U68" s="425">
        <f>(G68/'Population Figures'!AA28)*1000</f>
        <v>39.722193897782759</v>
      </c>
      <c r="V68" s="425">
        <f>(H68/'Population Figures'!AA28)*1000</f>
        <v>164.58765281035087</v>
      </c>
      <c r="W68" s="425">
        <f>(I68/'Population Figures'!AA28)*1000</f>
        <v>46.916601520455913</v>
      </c>
      <c r="X68" s="500">
        <f>(J68/'Population Figures'!AA28)*1000</f>
        <v>14.1169006265366</v>
      </c>
      <c r="Y68" s="186">
        <f>(K68/'Population Figures'!AA28)*1000</f>
        <v>0</v>
      </c>
      <c r="Z68" s="186">
        <f>(L68/'Population Figures'!AA28)*1000</f>
        <v>0</v>
      </c>
      <c r="AA68" s="501">
        <f>(M68/'Population Figures'!AA28)*1000</f>
        <v>30.964277216953878</v>
      </c>
    </row>
    <row r="69" spans="1:27">
      <c r="A69" s="7" t="s">
        <v>54</v>
      </c>
      <c r="B69" s="425">
        <v>116518</v>
      </c>
      <c r="C69" s="280">
        <v>507</v>
      </c>
      <c r="D69" s="425">
        <v>0</v>
      </c>
      <c r="E69" s="425">
        <v>28154</v>
      </c>
      <c r="F69" s="280">
        <v>50793</v>
      </c>
      <c r="G69" s="425">
        <v>6373</v>
      </c>
      <c r="H69" s="425">
        <v>19895</v>
      </c>
      <c r="I69" s="425">
        <v>5124</v>
      </c>
      <c r="J69" s="425">
        <v>1691</v>
      </c>
      <c r="K69" s="280">
        <v>0</v>
      </c>
      <c r="L69" s="280">
        <v>0</v>
      </c>
      <c r="M69" s="280">
        <v>3981</v>
      </c>
      <c r="N69" s="233"/>
      <c r="O69" s="7" t="s">
        <v>54</v>
      </c>
      <c r="P69" s="425">
        <f>(B69*1000)/SUM('Population Figures'!$Z29:$AB29)</f>
        <v>666.96050372066395</v>
      </c>
      <c r="Q69" s="280">
        <f>(C69/SUM('Population Figures'!Z29:AB29))*1000</f>
        <v>2.9021179164281627</v>
      </c>
      <c r="R69" s="425">
        <f>(D69/'Population Figures'!Z29)*1000</f>
        <v>0</v>
      </c>
      <c r="S69" s="425">
        <f>(E69/'Population Figures'!Z29)*1000</f>
        <v>810.86374240373266</v>
      </c>
      <c r="T69" s="280">
        <f>(F69/'Population Figures'!AB29)*1000</f>
        <v>1713.7796072609488</v>
      </c>
      <c r="U69" s="425">
        <f>(G69/'Population Figures'!AA29)*1000</f>
        <v>57.757315956897251</v>
      </c>
      <c r="V69" s="425">
        <f>(H69/'Population Figures'!AA29)*1000</f>
        <v>180.30469181899747</v>
      </c>
      <c r="W69" s="425">
        <f>(I69/'Population Figures'!AA29)*1000</f>
        <v>46.437860813296965</v>
      </c>
      <c r="X69" s="500">
        <f>(J69/'Population Figures'!AA29)*1000</f>
        <v>15.325219093537308</v>
      </c>
      <c r="Y69" s="186">
        <f>(K69/'Population Figures'!AA29)*1000</f>
        <v>0</v>
      </c>
      <c r="Z69" s="186">
        <f>(L69/'Population Figures'!AA29)*1000</f>
        <v>0</v>
      </c>
      <c r="AA69" s="501">
        <f>(M69/'Population Figures'!AA29)*1000</f>
        <v>36.079063992532241</v>
      </c>
    </row>
    <row r="70" spans="1:27">
      <c r="A70" s="7" t="s">
        <v>55</v>
      </c>
      <c r="B70" s="425">
        <v>83575</v>
      </c>
      <c r="C70" s="280">
        <v>227</v>
      </c>
      <c r="D70" s="425">
        <v>23</v>
      </c>
      <c r="E70" s="425">
        <v>14241</v>
      </c>
      <c r="F70" s="280">
        <v>39306</v>
      </c>
      <c r="G70" s="425">
        <v>5505</v>
      </c>
      <c r="H70" s="425">
        <v>19912</v>
      </c>
      <c r="I70" s="425">
        <v>2418</v>
      </c>
      <c r="J70" s="425">
        <v>446</v>
      </c>
      <c r="K70" s="280">
        <v>0</v>
      </c>
      <c r="L70" s="280">
        <v>0</v>
      </c>
      <c r="M70" s="280">
        <v>1497</v>
      </c>
      <c r="N70" s="233"/>
      <c r="O70" s="7" t="s">
        <v>55</v>
      </c>
      <c r="P70" s="425">
        <f>(B70*1000)/SUM('Population Figures'!$Z30:$AB30)</f>
        <v>733.88654724271157</v>
      </c>
      <c r="Q70" s="280">
        <f>(C70/SUM('Population Figures'!Z30:AB30))*1000</f>
        <v>1.9933263083948016</v>
      </c>
      <c r="R70" s="425">
        <f>(D70/'Population Figures'!Z30)*1000</f>
        <v>1.0448371416890019</v>
      </c>
      <c r="S70" s="425">
        <f>(E70/'Population Figures'!Z30)*1000</f>
        <v>646.93590151274248</v>
      </c>
      <c r="T70" s="280">
        <f>(F70/'Population Figures'!AB30)*1000</f>
        <v>1640.4841402337229</v>
      </c>
      <c r="U70" s="425">
        <f>(G70/'Population Figures'!AA30)*1000</f>
        <v>81.066753059331148</v>
      </c>
      <c r="V70" s="425">
        <f>(H70/'Population Figures'!AA30)*1000</f>
        <v>293.22455711487771</v>
      </c>
      <c r="W70" s="425">
        <f>(I70/'Population Figures'!AA30)*1000</f>
        <v>35.607522052218478</v>
      </c>
      <c r="X70" s="500">
        <f>(J70/'Population Figures'!AA30)*1000</f>
        <v>6.5678059699294629</v>
      </c>
      <c r="Y70" s="186">
        <f>(K70/'Population Figures'!AA30)*1000</f>
        <v>0</v>
      </c>
      <c r="Z70" s="186">
        <f>(L70/'Population Figures'!AA30)*1000</f>
        <v>0</v>
      </c>
      <c r="AA70" s="501">
        <f>(M70/'Population Figures'!AA30)*1000</f>
        <v>22.044855464090595</v>
      </c>
    </row>
    <row r="71" spans="1:27">
      <c r="A71" s="7" t="s">
        <v>56</v>
      </c>
      <c r="B71" s="425">
        <v>38200</v>
      </c>
      <c r="C71" s="280">
        <v>35</v>
      </c>
      <c r="D71" s="425">
        <v>43</v>
      </c>
      <c r="E71" s="425">
        <v>5252</v>
      </c>
      <c r="F71" s="280">
        <v>20084</v>
      </c>
      <c r="G71" s="425">
        <v>3426</v>
      </c>
      <c r="H71" s="425">
        <v>6275</v>
      </c>
      <c r="I71" s="425">
        <v>1883</v>
      </c>
      <c r="J71" s="425">
        <v>786</v>
      </c>
      <c r="K71" s="280">
        <v>0</v>
      </c>
      <c r="L71" s="280">
        <v>0</v>
      </c>
      <c r="M71" s="280">
        <v>416</v>
      </c>
      <c r="N71" s="233"/>
      <c r="O71" s="7" t="s">
        <v>56</v>
      </c>
      <c r="P71" s="425">
        <f>(B71*1000)/SUM('Population Figures'!$Z31:$AB31)</f>
        <v>1643.7177280550775</v>
      </c>
      <c r="Q71" s="280">
        <f>(C71/SUM('Population Figures'!Z31:AB31))*1000</f>
        <v>1.5060240963855422</v>
      </c>
      <c r="R71" s="425">
        <f>(D71/'Population Figures'!Z31)*1000</f>
        <v>8.4280674245393961</v>
      </c>
      <c r="S71" s="425">
        <f>(E71/'Population Figures'!Z31)*1000</f>
        <v>1029.4002352018815</v>
      </c>
      <c r="T71" s="280">
        <f>(F71/'Population Figures'!AB31)*1000</f>
        <v>5290.8324552160166</v>
      </c>
      <c r="U71" s="425">
        <f>(G71/'Population Figures'!AA31)*1000</f>
        <v>238.87881745921072</v>
      </c>
      <c r="V71" s="425">
        <f>(H71/'Population Figures'!AA31)*1000</f>
        <v>437.52614698089525</v>
      </c>
      <c r="W71" s="425">
        <f>(I71/'Population Figures'!AA31)*1000</f>
        <v>131.29270673546227</v>
      </c>
      <c r="X71" s="500">
        <f>(J71/'Population Figures'!AA31)*1000</f>
        <v>54.804071956491427</v>
      </c>
      <c r="Y71" s="186">
        <f>(K71/'Population Figures'!AA31)*1000</f>
        <v>0</v>
      </c>
      <c r="Z71" s="186">
        <f>(L71/'Population Figures'!AA31)*1000</f>
        <v>0</v>
      </c>
      <c r="AA71" s="501">
        <f>(M71/'Population Figures'!AA31)*1000</f>
        <v>29.005717473155766</v>
      </c>
    </row>
    <row r="72" spans="1:27">
      <c r="A72" s="7" t="s">
        <v>57</v>
      </c>
      <c r="B72" s="425">
        <v>87194</v>
      </c>
      <c r="C72" s="280">
        <v>0</v>
      </c>
      <c r="D72" s="425">
        <v>66</v>
      </c>
      <c r="E72" s="425">
        <v>17491</v>
      </c>
      <c r="F72" s="280">
        <v>42759</v>
      </c>
      <c r="G72" s="425">
        <v>3743</v>
      </c>
      <c r="H72" s="425">
        <v>16734</v>
      </c>
      <c r="I72" s="425">
        <v>3923</v>
      </c>
      <c r="J72" s="425">
        <v>985</v>
      </c>
      <c r="K72" s="280">
        <v>0</v>
      </c>
      <c r="L72" s="280">
        <v>0</v>
      </c>
      <c r="M72" s="280">
        <v>1493</v>
      </c>
      <c r="O72" s="7" t="s">
        <v>57</v>
      </c>
      <c r="P72" s="425">
        <f>(B72*1000)/SUM('Population Figures'!$Z32:$AB32)</f>
        <v>771.76491414409634</v>
      </c>
      <c r="Q72" s="280">
        <f>(C72/SUM('Population Figures'!Z32:AB32))*1000</f>
        <v>0</v>
      </c>
      <c r="R72" s="425">
        <f>(D72/'Population Figures'!Z32)*1000</f>
        <v>3.1210100723506882</v>
      </c>
      <c r="S72" s="425">
        <f>(E72/'Population Figures'!Z32)*1000</f>
        <v>827.11495720433163</v>
      </c>
      <c r="T72" s="280">
        <f>(F72/'Population Figures'!AB32)*1000</f>
        <v>1750.4093663009662</v>
      </c>
      <c r="U72" s="425">
        <f>(G72/'Population Figures'!AA32)*1000</f>
        <v>55.530005192493142</v>
      </c>
      <c r="V72" s="425">
        <f>(H72/'Population Figures'!AA32)*1000</f>
        <v>248.26051479860544</v>
      </c>
      <c r="W72" s="425">
        <f>(I72/'Population Figures'!AA32)*1000</f>
        <v>58.20043023514576</v>
      </c>
      <c r="X72" s="500">
        <f>(J72/'Population Figures'!AA32)*1000</f>
        <v>14.613159261182405</v>
      </c>
      <c r="Y72" s="186">
        <f>(K72/'Population Figures'!AA32)*1000</f>
        <v>0</v>
      </c>
      <c r="Z72" s="186">
        <f>(L72/'Population Figures'!AA32)*1000</f>
        <v>0</v>
      </c>
      <c r="AA72" s="501">
        <f>(M72/'Population Figures'!AA32)*1000</f>
        <v>22.149692159335359</v>
      </c>
    </row>
    <row r="73" spans="1:27">
      <c r="A73" s="7" t="s">
        <v>58</v>
      </c>
      <c r="B73" s="425">
        <v>190880</v>
      </c>
      <c r="C73" s="280">
        <v>989</v>
      </c>
      <c r="D73" s="425">
        <v>55</v>
      </c>
      <c r="E73" s="425">
        <v>30613</v>
      </c>
      <c r="F73" s="280">
        <v>96528</v>
      </c>
      <c r="G73" s="425">
        <v>9413</v>
      </c>
      <c r="H73" s="425">
        <v>38141</v>
      </c>
      <c r="I73" s="425">
        <v>7864</v>
      </c>
      <c r="J73" s="425">
        <v>1154</v>
      </c>
      <c r="K73" s="280">
        <v>0</v>
      </c>
      <c r="L73" s="280">
        <v>0</v>
      </c>
      <c r="M73" s="280">
        <v>6123</v>
      </c>
      <c r="O73" s="7" t="s">
        <v>58</v>
      </c>
      <c r="P73" s="425">
        <f>(B73*1000)/SUM('Population Figures'!$Z33:$AB33)</f>
        <v>608.09174896463844</v>
      </c>
      <c r="Q73" s="280">
        <f>(C73/SUM('Population Figures'!Z33:AB33))*1000</f>
        <v>3.1506849315068495</v>
      </c>
      <c r="R73" s="425">
        <f>(D73/'Population Figures'!Z33)*1000</f>
        <v>0.87120432117343305</v>
      </c>
      <c r="S73" s="425">
        <f>(E73/'Population Figures'!Z33)*1000</f>
        <v>484.91232516513281</v>
      </c>
      <c r="T73" s="280">
        <f>(F73/'Population Figures'!AB33)*1000</f>
        <v>1812.5281658404685</v>
      </c>
      <c r="U73" s="425">
        <f>(G73/'Population Figures'!AA33)*1000</f>
        <v>47.657622536238122</v>
      </c>
      <c r="V73" s="425">
        <f>(H73/'Population Figures'!AA33)*1000</f>
        <v>193.1062765488854</v>
      </c>
      <c r="W73" s="425">
        <f>(I73/'Population Figures'!AA33)*1000</f>
        <v>39.815100778176628</v>
      </c>
      <c r="X73" s="500">
        <f>(J73/'Population Figures'!AA33)*1000</f>
        <v>5.8426533949664075</v>
      </c>
      <c r="Y73" s="186">
        <f>(K73/'Population Figures'!AA33)*1000</f>
        <v>0</v>
      </c>
      <c r="Z73" s="186">
        <f>(L73/'Population Figures'!AA33)*1000</f>
        <v>0</v>
      </c>
      <c r="AA73" s="501">
        <f>(M73/'Population Figures'!AA33)*1000</f>
        <v>31.000491106914481</v>
      </c>
    </row>
    <row r="74" spans="1:27">
      <c r="A74" s="7" t="s">
        <v>59</v>
      </c>
      <c r="B74" s="425">
        <v>55103</v>
      </c>
      <c r="C74" s="280">
        <v>662</v>
      </c>
      <c r="D74" s="425">
        <v>0</v>
      </c>
      <c r="E74" s="425">
        <v>11135</v>
      </c>
      <c r="F74" s="280">
        <v>25330</v>
      </c>
      <c r="G74" s="425">
        <v>3160</v>
      </c>
      <c r="H74" s="425">
        <v>9381</v>
      </c>
      <c r="I74" s="425">
        <v>2790</v>
      </c>
      <c r="J74" s="425">
        <v>383</v>
      </c>
      <c r="K74" s="280">
        <v>0</v>
      </c>
      <c r="L74" s="280">
        <v>0</v>
      </c>
      <c r="M74" s="280">
        <v>2262</v>
      </c>
      <c r="O74" s="7" t="s">
        <v>59</v>
      </c>
      <c r="P74" s="425">
        <f>(B74*1000)/SUM('Population Figures'!$Z34:$AB34)</f>
        <v>610.01881988265245</v>
      </c>
      <c r="Q74" s="280">
        <f>(C74/SUM('Population Figures'!Z34:AB34))*1000</f>
        <v>7.3286837152662461</v>
      </c>
      <c r="R74" s="425">
        <f>(D74/'Population Figures'!Z34)*1000</f>
        <v>0</v>
      </c>
      <c r="S74" s="425">
        <f>(E74/'Population Figures'!Z34)*1000</f>
        <v>612.48624862486247</v>
      </c>
      <c r="T74" s="280">
        <f>(F74/'Population Figures'!AB34)*1000</f>
        <v>1617.9100664282064</v>
      </c>
      <c r="U74" s="425">
        <f>(G74/'Population Figures'!AA34)*1000</f>
        <v>55.935143555067796</v>
      </c>
      <c r="V74" s="425">
        <f>(H74/'Population Figures'!AA34)*1000</f>
        <v>166.05303218040854</v>
      </c>
      <c r="W74" s="425">
        <f>(I74/'Population Figures'!AA34)*1000</f>
        <v>49.385775480582012</v>
      </c>
      <c r="X74" s="500">
        <f>(J74/'Population Figures'!AA34)*1000</f>
        <v>6.7794810068325848</v>
      </c>
      <c r="Y74" s="186">
        <f>(K74/'Population Figures'!AA34)*1000</f>
        <v>0</v>
      </c>
      <c r="Z74" s="186">
        <f>(L74/'Population Figures'!AA34)*1000</f>
        <v>0</v>
      </c>
      <c r="AA74" s="501">
        <f>(M74/'Population Figures'!AA34)*1000</f>
        <v>40.039650228342836</v>
      </c>
    </row>
    <row r="75" spans="1:27">
      <c r="A75" s="7" t="s">
        <v>60</v>
      </c>
      <c r="B75" s="425">
        <v>72251</v>
      </c>
      <c r="C75" s="280">
        <v>1910</v>
      </c>
      <c r="D75" s="425">
        <v>37</v>
      </c>
      <c r="E75" s="425">
        <v>15792</v>
      </c>
      <c r="F75" s="280">
        <v>30730</v>
      </c>
      <c r="G75" s="425">
        <v>5662</v>
      </c>
      <c r="H75" s="425">
        <v>10503</v>
      </c>
      <c r="I75" s="425">
        <v>3271</v>
      </c>
      <c r="J75" s="425">
        <v>1997</v>
      </c>
      <c r="K75" s="280">
        <v>29</v>
      </c>
      <c r="L75" s="280">
        <v>39</v>
      </c>
      <c r="M75" s="280">
        <v>2281</v>
      </c>
      <c r="O75" s="7" t="s">
        <v>60</v>
      </c>
      <c r="P75" s="425">
        <f>(B75*1000)/SUM('Population Figures'!$Z35:$AB35)</f>
        <v>797.38439465842623</v>
      </c>
      <c r="Q75" s="280">
        <f>(C75/SUM('Population Figures'!Z35:AB35))*1000</f>
        <v>21.079351065003863</v>
      </c>
      <c r="R75" s="425">
        <f>(D75/'Population Figures'!Z35)*1000</f>
        <v>2.0273972602739727</v>
      </c>
      <c r="S75" s="425">
        <f>(E75/'Population Figures'!Z35)*1000</f>
        <v>865.31506849315065</v>
      </c>
      <c r="T75" s="280">
        <f>(F75/'Population Figures'!AB35)*1000</f>
        <v>2050.3069121964236</v>
      </c>
      <c r="U75" s="425">
        <f>(G75/'Population Figures'!AA35)*1000</f>
        <v>98.689256083106741</v>
      </c>
      <c r="V75" s="425">
        <f>(H75/'Population Figures'!AA35)*1000</f>
        <v>183.06839573311024</v>
      </c>
      <c r="W75" s="425">
        <f>(I75/'Population Figures'!AA35)*1000</f>
        <v>57.013874363801158</v>
      </c>
      <c r="X75" s="500">
        <f>(J75/'Population Figures'!AA35)*1000</f>
        <v>34.807920239838246</v>
      </c>
      <c r="Y75" s="186">
        <f>(K75/'Population Figures'!AA35)*1000</f>
        <v>0.50547305305724044</v>
      </c>
      <c r="Z75" s="186">
        <f>(L75/'Population Figures'!AA35)*1000</f>
        <v>0.67977410583559927</v>
      </c>
      <c r="AA75" s="501">
        <f>(M75/'Population Figures'!AA35)*1000</f>
        <v>39.758070138743641</v>
      </c>
    </row>
    <row r="76" spans="1:27">
      <c r="A76" s="7" t="s">
        <v>61</v>
      </c>
      <c r="B76" s="425">
        <v>85130</v>
      </c>
      <c r="C76" s="280">
        <v>2268</v>
      </c>
      <c r="D76" s="425">
        <v>105</v>
      </c>
      <c r="E76" s="425">
        <v>19961</v>
      </c>
      <c r="F76" s="280">
        <v>34613</v>
      </c>
      <c r="G76" s="425">
        <v>5956</v>
      </c>
      <c r="H76" s="425">
        <v>13140</v>
      </c>
      <c r="I76" s="425">
        <v>4276</v>
      </c>
      <c r="J76" s="425">
        <v>2033</v>
      </c>
      <c r="K76" s="280">
        <v>10</v>
      </c>
      <c r="L76" s="280">
        <v>0</v>
      </c>
      <c r="M76" s="280">
        <v>2768</v>
      </c>
      <c r="O76" s="7" t="s">
        <v>61</v>
      </c>
      <c r="P76" s="425">
        <f>(B76*1000)/SUM('Population Figures'!$Z36:$AB36)</f>
        <v>485.62464346833997</v>
      </c>
      <c r="Q76" s="280">
        <f>(C76/SUM('Population Figures'!Z36:AB36))*1000</f>
        <v>12.93782087849401</v>
      </c>
      <c r="R76" s="425">
        <f>(D76/'Population Figures'!Z36)*1000</f>
        <v>2.6259847442791044</v>
      </c>
      <c r="S76" s="425">
        <f>(E76/'Population Figures'!Z36)*1000</f>
        <v>499.21220457671626</v>
      </c>
      <c r="T76" s="280">
        <f>(F76/'Population Figures'!AB36)*1000</f>
        <v>1433.4879483144205</v>
      </c>
      <c r="U76" s="425">
        <f>(G76/'Population Figures'!AA36)*1000</f>
        <v>53.576086858746592</v>
      </c>
      <c r="V76" s="425">
        <f>(H76/'Population Figures'!AA36)*1000</f>
        <v>118.19841862389694</v>
      </c>
      <c r="W76" s="425">
        <f>(I76/'Population Figures'!AA36)*1000</f>
        <v>38.463960276695836</v>
      </c>
      <c r="X76" s="500">
        <f>(J76/'Population Figures'!AA36)*1000</f>
        <v>18.287472226969747</v>
      </c>
      <c r="Y76" s="186">
        <f>(K76/'Population Figures'!AA36)*1000</f>
        <v>8.9953134416968769E-2</v>
      </c>
      <c r="Z76" s="186">
        <f>(L76/'Population Figures'!AA36)*1000</f>
        <v>0</v>
      </c>
      <c r="AA76" s="501">
        <f>(M76/'Population Figures'!AA36)*1000</f>
        <v>24.899027606616951</v>
      </c>
    </row>
    <row r="77" spans="1:27">
      <c r="A77" s="52" t="s">
        <v>5</v>
      </c>
      <c r="B77" s="53">
        <v>3665002</v>
      </c>
      <c r="C77" s="52">
        <v>29831</v>
      </c>
      <c r="D77" s="53">
        <v>2459</v>
      </c>
      <c r="E77" s="53">
        <v>792762</v>
      </c>
      <c r="F77" s="52">
        <v>1633495</v>
      </c>
      <c r="G77" s="53">
        <v>210875</v>
      </c>
      <c r="H77" s="53">
        <v>667088</v>
      </c>
      <c r="I77" s="53">
        <v>155563</v>
      </c>
      <c r="J77" s="53">
        <v>60081</v>
      </c>
      <c r="K77" s="52">
        <v>1994</v>
      </c>
      <c r="L77" s="52">
        <v>455</v>
      </c>
      <c r="M77" s="52">
        <v>110399</v>
      </c>
      <c r="N77" s="1"/>
      <c r="O77" s="52" t="s">
        <v>5</v>
      </c>
      <c r="P77" s="53">
        <f>(B77*1000)/SUM('Population Figures'!$Z37:$AB37)</f>
        <v>691.52285892186649</v>
      </c>
      <c r="Q77" s="52">
        <f>(C77/SUM('Population Figures'!Z37:AB37))*1000</f>
        <v>5.6285967659767167</v>
      </c>
      <c r="R77" s="53">
        <f>(D77/'Population Figures'!Z37)*1000</f>
        <v>2.3597534878096997</v>
      </c>
      <c r="S77" s="53">
        <f>(E77/'Population Figures'!Z37)*1000</f>
        <v>760.76571553598751</v>
      </c>
      <c r="T77" s="52">
        <f>(F77/'Population Figures'!AB37)*1000</f>
        <v>1822.3567657781882</v>
      </c>
      <c r="U77" s="53">
        <f>(G77/'Population Figures'!AA37)*1000</f>
        <v>62.732821693314662</v>
      </c>
      <c r="V77" s="53">
        <f>(H77/'Population Figures'!AA37)*1000</f>
        <v>198.45080051096573</v>
      </c>
      <c r="W77" s="53">
        <f>(I77/'Population Figures'!AA37)*1000</f>
        <v>46.278155025854701</v>
      </c>
      <c r="X77" s="445">
        <f>(J77/'Population Figures'!AA37)*1000</f>
        <v>17.873387837135926</v>
      </c>
      <c r="Y77" s="446">
        <f>(K77/'Population Figures'!AA37)*1000</f>
        <v>0.59319144733358364</v>
      </c>
      <c r="Z77" s="446">
        <f>(L77/'Population Figures'!AA37)*1000</f>
        <v>0.13535712564532623</v>
      </c>
      <c r="AA77" s="446">
        <f>(M77/'Population Figures'!AA37)*1000</f>
        <v>32.842398492567852</v>
      </c>
    </row>
  </sheetData>
  <mergeCells count="4">
    <mergeCell ref="B1:M1"/>
    <mergeCell ref="O1:Z1"/>
    <mergeCell ref="B43:M43"/>
    <mergeCell ref="O43:Z43"/>
  </mergeCells>
  <pageMargins left="0.7" right="0.7" top="0.75" bottom="0.75" header="0.3" footer="0.3"/>
  <pageSetup paperSize="9" scale="9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A77"/>
  <sheetViews>
    <sheetView topLeftCell="A47" workbookViewId="0">
      <selection activeCell="X45" sqref="X45:X76"/>
    </sheetView>
  </sheetViews>
  <sheetFormatPr defaultRowHeight="12.75"/>
  <cols>
    <col min="1" max="1" width="23.28515625" customWidth="1"/>
    <col min="4" max="4" width="10.7109375" customWidth="1"/>
    <col min="7" max="7" width="12.5703125" customWidth="1"/>
    <col min="8" max="9" width="10" customWidth="1"/>
    <col min="10" max="10" width="11" customWidth="1"/>
    <col min="15" max="15" width="23.42578125" customWidth="1"/>
    <col min="21" max="21" width="12.140625" customWidth="1"/>
    <col min="22" max="22" width="10.5703125" customWidth="1"/>
    <col min="24" max="24" width="10.8554687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76.5">
      <c r="A2" s="21" t="s">
        <v>26</v>
      </c>
      <c r="B2" s="10" t="s">
        <v>9</v>
      </c>
      <c r="C2" s="9" t="s">
        <v>10</v>
      </c>
      <c r="D2" s="10" t="s">
        <v>11</v>
      </c>
      <c r="E2" s="10" t="s">
        <v>12</v>
      </c>
      <c r="F2" s="9" t="s">
        <v>14</v>
      </c>
      <c r="G2" s="10" t="s">
        <v>15</v>
      </c>
      <c r="H2" s="10" t="s">
        <v>16</v>
      </c>
      <c r="I2" s="10" t="s">
        <v>17</v>
      </c>
      <c r="J2" s="10" t="s">
        <v>351</v>
      </c>
      <c r="K2" s="9" t="s">
        <v>19</v>
      </c>
      <c r="L2" s="9" t="s">
        <v>20</v>
      </c>
      <c r="M2" s="9" t="s">
        <v>21</v>
      </c>
      <c r="O2" s="21" t="s">
        <v>26</v>
      </c>
      <c r="P2" s="10" t="s">
        <v>9</v>
      </c>
      <c r="Q2" s="9" t="s">
        <v>10</v>
      </c>
      <c r="R2" s="10" t="s">
        <v>11</v>
      </c>
      <c r="S2" s="10" t="s">
        <v>12</v>
      </c>
      <c r="T2" s="9" t="s">
        <v>14</v>
      </c>
      <c r="U2" s="10" t="s">
        <v>15</v>
      </c>
      <c r="V2" s="10" t="s">
        <v>16</v>
      </c>
      <c r="W2" s="10" t="s">
        <v>17</v>
      </c>
      <c r="X2" s="10" t="s">
        <v>351</v>
      </c>
      <c r="Y2" s="9" t="s">
        <v>19</v>
      </c>
      <c r="Z2" s="9" t="s">
        <v>20</v>
      </c>
      <c r="AA2" s="9" t="s">
        <v>21</v>
      </c>
    </row>
    <row r="3" spans="1:27">
      <c r="A3" s="7" t="s">
        <v>31</v>
      </c>
      <c r="B3" s="425">
        <f t="shared" ref="B3:J3" si="0">B45*$M$39</f>
        <v>164239.08945</v>
      </c>
      <c r="C3" s="280">
        <f t="shared" si="0"/>
        <v>902.78925000000004</v>
      </c>
      <c r="D3" s="425">
        <f t="shared" si="0"/>
        <v>49.243050000000004</v>
      </c>
      <c r="E3" s="425">
        <f t="shared" si="0"/>
        <v>37343.611799999999</v>
      </c>
      <c r="F3" s="280">
        <f t="shared" si="0"/>
        <v>67728.504750000007</v>
      </c>
      <c r="G3" s="425">
        <f t="shared" si="0"/>
        <v>11886.886050000001</v>
      </c>
      <c r="H3" s="425">
        <f t="shared" si="0"/>
        <v>30420.618300000002</v>
      </c>
      <c r="I3" s="425">
        <f t="shared" si="0"/>
        <v>8587.6017000000011</v>
      </c>
      <c r="J3" s="425">
        <f t="shared" si="0"/>
        <v>2562.5697</v>
      </c>
      <c r="K3" s="504"/>
      <c r="L3" s="504"/>
      <c r="M3" s="280">
        <f>M45*$M$39</f>
        <v>4757.2648500000005</v>
      </c>
      <c r="N3" s="233"/>
      <c r="O3" s="7" t="s">
        <v>31</v>
      </c>
      <c r="P3" s="425">
        <f>(B3*1000)/SUM('Population Figures'!$AI5:$AK5)</f>
        <v>717.23258417398131</v>
      </c>
      <c r="Q3" s="280">
        <f>(C3/SUM('Population Figures'!AI5:AK5))*1000</f>
        <v>3.9424832962138088</v>
      </c>
      <c r="R3" s="425">
        <f>(D3/'Population Figures'!AI5)*1000</f>
        <v>1.3100039904229848</v>
      </c>
      <c r="S3" s="425">
        <f>(E3/'Population Figures'!AI5)*1000</f>
        <v>993.44537909018345</v>
      </c>
      <c r="T3" s="280">
        <f>(F3/'Population Figures'!AH5)*1000</f>
        <v>2008.972940705366</v>
      </c>
      <c r="U3" s="425">
        <f>(G3/'Population Figures'!AJ5)*1000</f>
        <v>75.64567707571004</v>
      </c>
      <c r="V3" s="425">
        <f>(H3/'Population Figures'!AJ5)*1000</f>
        <v>193.59050458511257</v>
      </c>
      <c r="W3" s="425">
        <f>(I3/'Population Figures'!AJ5)*1000</f>
        <v>54.649715856661942</v>
      </c>
      <c r="X3" s="500">
        <f>(J3/'Population Figures'!AJ5)*1000</f>
        <v>16.307662006249245</v>
      </c>
      <c r="Y3" s="504"/>
      <c r="Z3" s="504"/>
      <c r="AA3" s="501">
        <f>(M3/'Population Figures'!AJ5)*1000</f>
        <v>30.274246686055022</v>
      </c>
    </row>
    <row r="4" spans="1:27">
      <c r="A4" s="7" t="s">
        <v>32</v>
      </c>
      <c r="B4" s="425">
        <f t="shared" ref="B4:J34" si="1">B46*$M$39</f>
        <v>151090.22954999999</v>
      </c>
      <c r="C4" s="280">
        <f t="shared" si="1"/>
        <v>1340.1834000000001</v>
      </c>
      <c r="D4" s="425">
        <f t="shared" si="1"/>
        <v>13.5177</v>
      </c>
      <c r="E4" s="425">
        <f t="shared" si="1"/>
        <v>24858.084750000002</v>
      </c>
      <c r="F4" s="280">
        <f t="shared" si="1"/>
        <v>74507.631300000008</v>
      </c>
      <c r="G4" s="425">
        <f t="shared" si="1"/>
        <v>716.43809999999996</v>
      </c>
      <c r="H4" s="425">
        <f t="shared" si="1"/>
        <v>39907.14705</v>
      </c>
      <c r="I4" s="425">
        <f t="shared" si="1"/>
        <v>4891.4763000000003</v>
      </c>
      <c r="J4" s="425">
        <f t="shared" si="1"/>
        <v>2027.655</v>
      </c>
      <c r="K4" s="504"/>
      <c r="L4" s="504"/>
      <c r="M4" s="280">
        <f t="shared" ref="M4:M34" si="2">M46*$M$39</f>
        <v>2828.0959499999999</v>
      </c>
      <c r="N4" s="233"/>
      <c r="O4" s="7" t="s">
        <v>32</v>
      </c>
      <c r="P4" s="425">
        <f>(B4*1000)/SUM('Population Figures'!$AI6:$AK6)</f>
        <v>580.00088119001907</v>
      </c>
      <c r="Q4" s="280">
        <f>(C4/SUM('Population Figures'!AI6:AK6))*1000</f>
        <v>5.1446579654510565</v>
      </c>
      <c r="R4" s="425">
        <f>(D4/'Population Figures'!AI6)*1000</f>
        <v>0.24690764959450573</v>
      </c>
      <c r="S4" s="425">
        <f>(E4/'Population Figures'!AI6)*1000</f>
        <v>454.04553134361078</v>
      </c>
      <c r="T4" s="280">
        <f>(F4/'Population Figures'!AH6)*1000</f>
        <v>1678.8560455159984</v>
      </c>
      <c r="U4" s="425">
        <f>(G4/'Population Figures'!AJ6)*1000</f>
        <v>4.4787458428146332</v>
      </c>
      <c r="V4" s="425">
        <f>(H4/'Population Figures'!AJ6)*1000</f>
        <v>249.4758011177515</v>
      </c>
      <c r="W4" s="425">
        <f>(I4/'Population Figures'!AJ6)*1000</f>
        <v>30.578607061588858</v>
      </c>
      <c r="X4" s="500">
        <f>(J4/'Population Figures'!AJ6)*1000</f>
        <v>12.675695781550848</v>
      </c>
      <c r="Y4" s="504"/>
      <c r="Z4" s="504"/>
      <c r="AA4" s="501">
        <f>(M4/'Population Figures'!AJ6)*1000</f>
        <v>17.679577592458305</v>
      </c>
    </row>
    <row r="5" spans="1:27">
      <c r="A5" s="7" t="s">
        <v>33</v>
      </c>
      <c r="B5" s="425">
        <f t="shared" si="1"/>
        <v>72474.183000000005</v>
      </c>
      <c r="C5" s="280">
        <f t="shared" si="1"/>
        <v>275.18175000000002</v>
      </c>
      <c r="D5" s="425">
        <f t="shared" si="1"/>
        <v>56.001899999999999</v>
      </c>
      <c r="E5" s="425">
        <f t="shared" si="1"/>
        <v>13557.287550000001</v>
      </c>
      <c r="F5" s="280">
        <f t="shared" si="1"/>
        <v>39422.440950000004</v>
      </c>
      <c r="G5" s="425">
        <f t="shared" si="1"/>
        <v>3146.7274499999999</v>
      </c>
      <c r="H5" s="425">
        <f t="shared" si="1"/>
        <v>11204.242200000001</v>
      </c>
      <c r="I5" s="425">
        <f t="shared" si="1"/>
        <v>2103.93345</v>
      </c>
      <c r="J5" s="425">
        <f t="shared" si="1"/>
        <v>961.68780000000004</v>
      </c>
      <c r="K5" s="504"/>
      <c r="L5" s="504"/>
      <c r="M5" s="280">
        <f t="shared" si="2"/>
        <v>1746.67995</v>
      </c>
      <c r="N5" s="233"/>
      <c r="O5" s="7" t="s">
        <v>33</v>
      </c>
      <c r="P5" s="425">
        <f>(B5*1000)/SUM('Population Figures'!$AI7:$AK7)</f>
        <v>621.24278244471111</v>
      </c>
      <c r="Q5" s="280">
        <f>(C5/SUM('Population Figures'!AI7:AK7))*1000</f>
        <v>2.3588355048859939</v>
      </c>
      <c r="R5" s="425">
        <f>(D5/'Population Figures'!AI7)*1000</f>
        <v>2.4877570965305851</v>
      </c>
      <c r="S5" s="425">
        <f>(E5/'Population Figures'!AI7)*1000</f>
        <v>602.25167917906811</v>
      </c>
      <c r="T5" s="280">
        <f>(F5/'Population Figures'!AH7)*1000</f>
        <v>1579.4247175480771</v>
      </c>
      <c r="U5" s="425">
        <f>(G5/'Population Figures'!AJ7)*1000</f>
        <v>45.926899556308015</v>
      </c>
      <c r="V5" s="425">
        <f>(H5/'Population Figures'!AJ7)*1000</f>
        <v>163.52738338490281</v>
      </c>
      <c r="W5" s="425">
        <f>(I5/'Population Figures'!AJ7)*1000</f>
        <v>30.707184453266393</v>
      </c>
      <c r="X5" s="500">
        <f>(J5/'Population Figures'!AJ7)*1000</f>
        <v>14.035959483916166</v>
      </c>
      <c r="Y5" s="504"/>
      <c r="Z5" s="504"/>
      <c r="AA5" s="501">
        <f>(M5/'Population Figures'!AJ7)*1000</f>
        <v>25.493022797594723</v>
      </c>
    </row>
    <row r="6" spans="1:27">
      <c r="A6" s="7" t="s">
        <v>34</v>
      </c>
      <c r="B6" s="425">
        <f t="shared" si="1"/>
        <v>65828.302349999998</v>
      </c>
      <c r="C6" s="280">
        <f t="shared" si="1"/>
        <v>784.99215000000004</v>
      </c>
      <c r="D6" s="425">
        <f t="shared" si="1"/>
        <v>12.552150000000001</v>
      </c>
      <c r="E6" s="425">
        <f t="shared" si="1"/>
        <v>11170.44795</v>
      </c>
      <c r="F6" s="280">
        <f t="shared" si="1"/>
        <v>34858.286099999998</v>
      </c>
      <c r="G6" s="425">
        <f t="shared" si="1"/>
        <v>1811.3718000000001</v>
      </c>
      <c r="H6" s="425">
        <f t="shared" si="1"/>
        <v>13774.5363</v>
      </c>
      <c r="I6" s="425">
        <f t="shared" si="1"/>
        <v>2643.6759000000002</v>
      </c>
      <c r="J6" s="425">
        <f t="shared" si="1"/>
        <v>644.98739999999998</v>
      </c>
      <c r="K6" s="504"/>
      <c r="L6" s="504"/>
      <c r="M6" s="280">
        <f t="shared" si="2"/>
        <v>127.4526</v>
      </c>
      <c r="N6" s="233"/>
      <c r="O6" s="7" t="s">
        <v>34</v>
      </c>
      <c r="P6" s="425">
        <f>(B6*1000)/SUM('Population Figures'!$AI8:$AK8)</f>
        <v>750.9502891854894</v>
      </c>
      <c r="Q6" s="280">
        <f>(C6/SUM('Population Figures'!AI8:AK8))*1000</f>
        <v>8.9549640657084186</v>
      </c>
      <c r="R6" s="425">
        <f>(D6/'Population Figures'!AI8)*1000</f>
        <v>0.8033376000000001</v>
      </c>
      <c r="S6" s="425">
        <f>(E6/'Population Figures'!AI8)*1000</f>
        <v>714.90866879999999</v>
      </c>
      <c r="T6" s="280">
        <f>(F6/'Population Figures'!AH8)*1000</f>
        <v>1690.5085402521822</v>
      </c>
      <c r="U6" s="425">
        <f>(G6/'Population Figures'!AJ8)*1000</f>
        <v>35.570799049545393</v>
      </c>
      <c r="V6" s="425">
        <f>(H6/'Population Figures'!AJ8)*1000</f>
        <v>270.49734501109521</v>
      </c>
      <c r="W6" s="425">
        <f>(I6/'Population Figures'!AJ8)*1000</f>
        <v>51.915164071244824</v>
      </c>
      <c r="X6" s="500">
        <f>(J6/'Population Figures'!AJ8)*1000</f>
        <v>12.665934842801876</v>
      </c>
      <c r="Y6" s="504"/>
      <c r="Z6" s="504"/>
      <c r="AA6" s="501">
        <f>(M6/'Population Figures'!AJ8)*1000</f>
        <v>2.5028494000746226</v>
      </c>
    </row>
    <row r="7" spans="1:27">
      <c r="A7" s="7" t="s">
        <v>35</v>
      </c>
      <c r="B7" s="425">
        <f t="shared" si="1"/>
        <v>40289.504849999998</v>
      </c>
      <c r="C7" s="280">
        <f t="shared" si="1"/>
        <v>976.17105000000004</v>
      </c>
      <c r="D7" s="425">
        <f t="shared" si="1"/>
        <v>70.485150000000004</v>
      </c>
      <c r="E7" s="425">
        <f t="shared" si="1"/>
        <v>11195.552250000001</v>
      </c>
      <c r="F7" s="280">
        <f t="shared" si="1"/>
        <v>15960.541500000001</v>
      </c>
      <c r="G7" s="425">
        <f t="shared" si="1"/>
        <v>3505.9120499999999</v>
      </c>
      <c r="H7" s="425">
        <f t="shared" si="1"/>
        <v>4278.3520500000004</v>
      </c>
      <c r="I7" s="425">
        <f t="shared" si="1"/>
        <v>2014.1373000000001</v>
      </c>
      <c r="J7" s="425">
        <f t="shared" si="1"/>
        <v>564.84675000000004</v>
      </c>
      <c r="K7" s="504"/>
      <c r="L7" s="504"/>
      <c r="M7" s="280">
        <f t="shared" si="2"/>
        <v>1723.50675</v>
      </c>
      <c r="N7" s="233"/>
      <c r="O7" s="7" t="s">
        <v>35</v>
      </c>
      <c r="P7" s="425">
        <f>(B7*1000)/SUM('Population Figures'!$AI9:$AK9)</f>
        <v>787.05811388943141</v>
      </c>
      <c r="Q7" s="280">
        <f>(C7/SUM('Population Figures'!AI9:AK9))*1000</f>
        <v>19.069565344793904</v>
      </c>
      <c r="R7" s="425">
        <f>(D7/'Population Figures'!AI9)*1000</f>
        <v>6.8405619177018631</v>
      </c>
      <c r="S7" s="425">
        <f>(E7/'Population Figures'!AI9)*1000</f>
        <v>1086.5248689829193</v>
      </c>
      <c r="T7" s="280">
        <f>(F7/'Population Figures'!AH9)*1000</f>
        <v>1769.6575562700966</v>
      </c>
      <c r="U7" s="425">
        <f>(G7/'Population Figures'!AJ9)*1000</f>
        <v>111.09776119402986</v>
      </c>
      <c r="V7" s="425">
        <f>(H7/'Population Figures'!AJ9)*1000</f>
        <v>135.57537313432837</v>
      </c>
      <c r="W7" s="425">
        <f>(I7/'Population Figures'!AJ9)*1000</f>
        <v>63.825373134328359</v>
      </c>
      <c r="X7" s="500">
        <f>(J7/'Population Figures'!AJ9)*1000</f>
        <v>17.899253731343286</v>
      </c>
      <c r="Y7" s="504"/>
      <c r="Z7" s="504"/>
      <c r="AA7" s="501">
        <f>(M7/'Population Figures'!AJ9)*1000</f>
        <v>54.615671641791046</v>
      </c>
    </row>
    <row r="8" spans="1:27">
      <c r="A8" s="7" t="s">
        <v>36</v>
      </c>
      <c r="B8" s="425">
        <f t="shared" si="1"/>
        <v>114362.63865000001</v>
      </c>
      <c r="C8" s="280">
        <f t="shared" si="1"/>
        <v>3223.97145</v>
      </c>
      <c r="D8" s="425">
        <f t="shared" si="1"/>
        <v>9.6555</v>
      </c>
      <c r="E8" s="425">
        <f t="shared" si="1"/>
        <v>20758.35945</v>
      </c>
      <c r="F8" s="280">
        <f t="shared" si="1"/>
        <v>53183.45955</v>
      </c>
      <c r="G8" s="425">
        <f t="shared" si="1"/>
        <v>6731.8145999999997</v>
      </c>
      <c r="H8" s="425">
        <f t="shared" si="1"/>
        <v>22552.351350000001</v>
      </c>
      <c r="I8" s="425">
        <f t="shared" si="1"/>
        <v>4839.3366000000005</v>
      </c>
      <c r="J8" s="425">
        <f t="shared" si="1"/>
        <v>280.97505000000001</v>
      </c>
      <c r="K8" s="504"/>
      <c r="L8" s="504"/>
      <c r="M8" s="280">
        <f t="shared" si="2"/>
        <v>2782.7150999999999</v>
      </c>
      <c r="N8" s="233"/>
      <c r="O8" s="7" t="s">
        <v>36</v>
      </c>
      <c r="P8" s="425">
        <f>(B8*1000)/SUM('Population Figures'!$AI10:$AK10)</f>
        <v>762.72268007202888</v>
      </c>
      <c r="Q8" s="280">
        <f>(C8/SUM('Population Figures'!AI10:AK10))*1000</f>
        <v>21.501743697478993</v>
      </c>
      <c r="R8" s="425">
        <f>(D8/'Population Figures'!AI10)*1000</f>
        <v>0.35322846167916588</v>
      </c>
      <c r="S8" s="425">
        <f>(E8/'Population Figures'!AI10)*1000</f>
        <v>759.40586976403881</v>
      </c>
      <c r="T8" s="280">
        <f>(F8/'Population Figures'!AH10)*1000</f>
        <v>1518.2260790750786</v>
      </c>
      <c r="U8" s="425">
        <f>(G8/'Population Figures'!AJ10)*1000</f>
        <v>77.519744357438967</v>
      </c>
      <c r="V8" s="425">
        <f>(H8/'Population Figures'!AJ10)*1000</f>
        <v>259.70003857669275</v>
      </c>
      <c r="W8" s="425">
        <f>(I8/'Population Figures'!AJ10)*1000</f>
        <v>55.727045140488265</v>
      </c>
      <c r="X8" s="500">
        <f>(J8/'Population Figures'!AJ10)*1000</f>
        <v>3.2355487102717642</v>
      </c>
      <c r="Y8" s="504"/>
      <c r="Z8" s="504"/>
      <c r="AA8" s="501">
        <f>(M8/'Population Figures'!AJ10)*1000</f>
        <v>32.044162828189776</v>
      </c>
    </row>
    <row r="9" spans="1:27">
      <c r="A9" s="7" t="s">
        <v>37</v>
      </c>
      <c r="B9" s="425">
        <f t="shared" si="1"/>
        <v>123104.72835</v>
      </c>
      <c r="C9" s="280">
        <f t="shared" si="1"/>
        <v>784.02660000000003</v>
      </c>
      <c r="D9" s="425">
        <f t="shared" si="1"/>
        <v>73.381799999999998</v>
      </c>
      <c r="E9" s="425">
        <f t="shared" si="1"/>
        <v>29449.275000000001</v>
      </c>
      <c r="F9" s="280">
        <f t="shared" si="1"/>
        <v>51218.565300000002</v>
      </c>
      <c r="G9" s="425">
        <f t="shared" si="1"/>
        <v>8765.2628999999997</v>
      </c>
      <c r="H9" s="425">
        <f t="shared" si="1"/>
        <v>21624.4578</v>
      </c>
      <c r="I9" s="425">
        <f t="shared" si="1"/>
        <v>4568.0170500000004</v>
      </c>
      <c r="J9" s="425">
        <f t="shared" si="1"/>
        <v>1999.6540500000001</v>
      </c>
      <c r="K9" s="504"/>
      <c r="L9" s="504"/>
      <c r="M9" s="280">
        <f t="shared" si="2"/>
        <v>4622.0878499999999</v>
      </c>
      <c r="N9" s="233"/>
      <c r="O9" s="7" t="s">
        <v>37</v>
      </c>
      <c r="P9" s="425">
        <f>(B9*1000)/SUM('Population Figures'!$AI11:$AK11)</f>
        <v>830.33001719951437</v>
      </c>
      <c r="Q9" s="280">
        <f>(C9/SUM('Population Figures'!AI11:AK11))*1000</f>
        <v>5.2881869688385272</v>
      </c>
      <c r="R9" s="425">
        <f>(D9/'Population Figures'!AI11)*1000</f>
        <v>2.7029282846513683</v>
      </c>
      <c r="S9" s="425">
        <f>(E9/'Population Figures'!AI11)*1000</f>
        <v>1084.727798445615</v>
      </c>
      <c r="T9" s="280">
        <f>(F9/'Population Figures'!AH11)*1000</f>
        <v>2013.0709939865583</v>
      </c>
      <c r="U9" s="425">
        <f>(G9/'Population Figures'!AJ11)*1000</f>
        <v>91.96100194093269</v>
      </c>
      <c r="V9" s="425">
        <f>(H9/'Population Figures'!AJ11)*1000</f>
        <v>226.87360646278131</v>
      </c>
      <c r="W9" s="425">
        <f>(I9/'Population Figures'!AJ11)*1000</f>
        <v>47.925479200545567</v>
      </c>
      <c r="X9" s="500">
        <f>(J9/'Population Figures'!AJ11)*1000</f>
        <v>20.979426637989825</v>
      </c>
      <c r="Y9" s="504"/>
      <c r="Z9" s="504"/>
      <c r="AA9" s="501">
        <f>(M9/'Population Figures'!AJ11)*1000</f>
        <v>48.492764517651992</v>
      </c>
    </row>
    <row r="10" spans="1:27">
      <c r="A10" s="7" t="s">
        <v>38</v>
      </c>
      <c r="B10" s="425">
        <f t="shared" si="1"/>
        <v>89776.839000000007</v>
      </c>
      <c r="C10" s="280">
        <f t="shared" si="1"/>
        <v>1489.84365</v>
      </c>
      <c r="D10" s="425">
        <f t="shared" si="1"/>
        <v>28.9665</v>
      </c>
      <c r="E10" s="425">
        <f t="shared" si="1"/>
        <v>22918.2948</v>
      </c>
      <c r="F10" s="280">
        <f t="shared" si="1"/>
        <v>39372.232349999998</v>
      </c>
      <c r="G10" s="425">
        <f t="shared" si="1"/>
        <v>4670.36535</v>
      </c>
      <c r="H10" s="425">
        <f t="shared" si="1"/>
        <v>15141.7551</v>
      </c>
      <c r="I10" s="425">
        <f t="shared" si="1"/>
        <v>3252.93795</v>
      </c>
      <c r="J10" s="425">
        <f t="shared" si="1"/>
        <v>717.40364999999997</v>
      </c>
      <c r="K10" s="504"/>
      <c r="L10" s="504"/>
      <c r="M10" s="280">
        <f t="shared" si="2"/>
        <v>2185.0396500000002</v>
      </c>
      <c r="N10" s="233"/>
      <c r="O10" s="7" t="s">
        <v>38</v>
      </c>
      <c r="P10" s="425">
        <f>(B10*1000)/SUM('Population Figures'!$AI12:$AK12)</f>
        <v>734.97207531723291</v>
      </c>
      <c r="Q10" s="280">
        <f>(C10/SUM('Population Figures'!AI12:AK12))*1000</f>
        <v>12.196837085550554</v>
      </c>
      <c r="R10" s="425">
        <f>(D10/'Population Figures'!AI12)*1000</f>
        <v>1.2024283935242839</v>
      </c>
      <c r="S10" s="425">
        <f>(E10/'Population Figures'!AI12)*1000</f>
        <v>951.3613449564134</v>
      </c>
      <c r="T10" s="280">
        <f>(F10/'Population Figures'!AH12)*1000</f>
        <v>1727.0795433609685</v>
      </c>
      <c r="U10" s="425">
        <f>(G10/'Population Figures'!AJ12)*1000</f>
        <v>62.392162848173136</v>
      </c>
      <c r="V10" s="425">
        <f>(H10/'Population Figures'!AJ12)*1000</f>
        <v>202.28114488010155</v>
      </c>
      <c r="W10" s="425">
        <f>(I10/'Population Figures'!AJ12)*1000</f>
        <v>43.456521942422015</v>
      </c>
      <c r="X10" s="500">
        <f>(J10/'Population Figures'!AJ12)*1000</f>
        <v>9.5839108943958315</v>
      </c>
      <c r="Y10" s="504"/>
      <c r="Z10" s="504"/>
      <c r="AA10" s="501">
        <f>(M10/'Population Figures'!AJ12)*1000</f>
        <v>29.190296573375196</v>
      </c>
    </row>
    <row r="11" spans="1:27">
      <c r="A11" s="7" t="s">
        <v>39</v>
      </c>
      <c r="B11" s="425">
        <f t="shared" si="1"/>
        <v>77749.948199999999</v>
      </c>
      <c r="C11" s="280">
        <f t="shared" si="1"/>
        <v>538.77689999999996</v>
      </c>
      <c r="D11" s="425">
        <f t="shared" si="1"/>
        <v>2.8966500000000002</v>
      </c>
      <c r="E11" s="425">
        <f t="shared" si="1"/>
        <v>10189.44915</v>
      </c>
      <c r="F11" s="280">
        <f t="shared" si="1"/>
        <v>44003.975700000003</v>
      </c>
      <c r="G11" s="425">
        <f t="shared" si="1"/>
        <v>4051.4477999999999</v>
      </c>
      <c r="H11" s="425">
        <f t="shared" si="1"/>
        <v>14699.5332</v>
      </c>
      <c r="I11" s="425">
        <f t="shared" si="1"/>
        <v>3083.9666999999999</v>
      </c>
      <c r="J11" s="425">
        <f t="shared" ref="J11:J34" si="3">J53*$M$39</f>
        <v>903.75480000000005</v>
      </c>
      <c r="K11" s="504"/>
      <c r="L11" s="504"/>
      <c r="M11" s="280">
        <f t="shared" si="2"/>
        <v>276.14730000000003</v>
      </c>
      <c r="N11" s="233"/>
      <c r="O11" s="7" t="s">
        <v>39</v>
      </c>
      <c r="P11" s="425">
        <f>(B11*1000)/SUM('Population Figures'!$AI13:$AK13)</f>
        <v>728.47323339267314</v>
      </c>
      <c r="Q11" s="280">
        <f>(C11/SUM('Population Figures'!AI13:AK13))*1000</f>
        <v>5.0480361660264217</v>
      </c>
      <c r="R11" s="425">
        <f>(D11/'Population Figures'!AI13)*1000</f>
        <v>0.13762769040718392</v>
      </c>
      <c r="S11" s="425">
        <f>(E11/'Population Figures'!AI13)*1000</f>
        <v>484.12833895567064</v>
      </c>
      <c r="T11" s="280">
        <f>(F11/'Population Figures'!AH13)*1000</f>
        <v>1999.8171105253591</v>
      </c>
      <c r="U11" s="425">
        <f>(G11/'Population Figures'!AJ13)*1000</f>
        <v>64.248525983602661</v>
      </c>
      <c r="V11" s="425">
        <f>(H11/'Population Figures'!AJ13)*1000</f>
        <v>233.10761667644587</v>
      </c>
      <c r="W11" s="425">
        <f>(I11/'Population Figures'!AJ13)*1000</f>
        <v>48.906051475602219</v>
      </c>
      <c r="X11" s="500">
        <f>(J11/'Population Figures'!AJ13)*1000</f>
        <v>14.331892354778859</v>
      </c>
      <c r="Y11" s="504"/>
      <c r="Z11" s="504"/>
      <c r="AA11" s="501">
        <f>(M11/'Population Figures'!AJ13)*1000</f>
        <v>4.3791893306268737</v>
      </c>
    </row>
    <row r="12" spans="1:27">
      <c r="A12" s="7" t="s">
        <v>40</v>
      </c>
      <c r="B12" s="425">
        <f t="shared" si="1"/>
        <v>66382.528050000008</v>
      </c>
      <c r="C12" s="280">
        <f t="shared" si="1"/>
        <v>1519.7757000000001</v>
      </c>
      <c r="D12" s="425">
        <f t="shared" si="1"/>
        <v>0</v>
      </c>
      <c r="E12" s="425">
        <f t="shared" si="1"/>
        <v>12503.872499999999</v>
      </c>
      <c r="F12" s="280">
        <f t="shared" si="1"/>
        <v>28000.95</v>
      </c>
      <c r="G12" s="425">
        <f t="shared" si="1"/>
        <v>4490.7730499999998</v>
      </c>
      <c r="H12" s="425">
        <f t="shared" si="1"/>
        <v>15895.84965</v>
      </c>
      <c r="I12" s="425">
        <f t="shared" si="1"/>
        <v>2050.8281999999999</v>
      </c>
      <c r="J12" s="425">
        <f t="shared" si="3"/>
        <v>710.64480000000003</v>
      </c>
      <c r="K12" s="504"/>
      <c r="L12" s="504"/>
      <c r="M12" s="280">
        <f t="shared" si="2"/>
        <v>1209.8341500000001</v>
      </c>
      <c r="N12" s="233"/>
      <c r="O12" s="7" t="s">
        <v>40</v>
      </c>
      <c r="P12" s="425">
        <f>(B12*1000)/SUM('Population Figures'!$AI14:$AK14)</f>
        <v>650.49023076923083</v>
      </c>
      <c r="Q12" s="280">
        <f>(C12/SUM('Population Figures'!AI14:AK14))*1000</f>
        <v>14.892461538461539</v>
      </c>
      <c r="R12" s="425">
        <f>(D12/'Population Figures'!AI14)*1000</f>
        <v>0</v>
      </c>
      <c r="S12" s="425">
        <f>(E12/'Population Figures'!AI14)*1000</f>
        <v>587.61560693641616</v>
      </c>
      <c r="T12" s="280">
        <f>(F12/'Population Figures'!AH14)*1000</f>
        <v>1466.01832460733</v>
      </c>
      <c r="U12" s="425">
        <f>(G12/'Population Figures'!AJ14)*1000</f>
        <v>73.28882986536108</v>
      </c>
      <c r="V12" s="425">
        <f>(H12/'Population Figures'!AJ14)*1000</f>
        <v>259.41819094247251</v>
      </c>
      <c r="W12" s="425">
        <f>(I12/'Population Figures'!AJ14)*1000</f>
        <v>33.469248470012239</v>
      </c>
      <c r="X12" s="500">
        <f>(J12/'Population Figures'!AJ14)*1000</f>
        <v>11.597630354957161</v>
      </c>
      <c r="Y12" s="504"/>
      <c r="Z12" s="504"/>
      <c r="AA12" s="501">
        <f>(M12/'Population Figures'!AJ14)*1000</f>
        <v>19.744335373317014</v>
      </c>
    </row>
    <row r="13" spans="1:27">
      <c r="A13" s="7" t="s">
        <v>41</v>
      </c>
      <c r="B13" s="425">
        <f t="shared" si="1"/>
        <v>56834.204100000003</v>
      </c>
      <c r="C13" s="280">
        <f t="shared" si="1"/>
        <v>1245.5595000000001</v>
      </c>
      <c r="D13" s="425">
        <f t="shared" si="1"/>
        <v>0</v>
      </c>
      <c r="E13" s="425">
        <f t="shared" si="1"/>
        <v>7600.8096000000005</v>
      </c>
      <c r="F13" s="280">
        <f t="shared" si="1"/>
        <v>27646.593150000001</v>
      </c>
      <c r="G13" s="425">
        <f t="shared" si="1"/>
        <v>3137.07195</v>
      </c>
      <c r="H13" s="425">
        <f t="shared" si="1"/>
        <v>12497.113650000001</v>
      </c>
      <c r="I13" s="425">
        <f t="shared" si="1"/>
        <v>2466.9802500000001</v>
      </c>
      <c r="J13" s="425">
        <f t="shared" si="3"/>
        <v>1046.6562000000001</v>
      </c>
      <c r="K13" s="504"/>
      <c r="L13" s="504"/>
      <c r="M13" s="280">
        <f t="shared" si="2"/>
        <v>1193.4198000000001</v>
      </c>
      <c r="N13" s="233"/>
      <c r="O13" s="7" t="s">
        <v>41</v>
      </c>
      <c r="P13" s="425">
        <f>(B13*1000)/SUM('Population Figures'!$AI15:$AK15)</f>
        <v>615.22195388612261</v>
      </c>
      <c r="Q13" s="280">
        <f>(C13/SUM('Population Figures'!AI15:AK15))*1000</f>
        <v>13.482999567005846</v>
      </c>
      <c r="R13" s="425">
        <f>(D13/'Population Figures'!AI15)*1000</f>
        <v>0</v>
      </c>
      <c r="S13" s="425">
        <f>(E13/'Population Figures'!AI15)*1000</f>
        <v>366.60442772391843</v>
      </c>
      <c r="T13" s="280">
        <f>(F13/'Population Figures'!AH15)*1000</f>
        <v>1601.4013641102874</v>
      </c>
      <c r="U13" s="425">
        <f>(G13/'Population Figures'!AJ15)*1000</f>
        <v>58.139144334482374</v>
      </c>
      <c r="V13" s="425">
        <f>(H13/'Population Figures'!AJ15)*1000</f>
        <v>231.60817024352275</v>
      </c>
      <c r="W13" s="425">
        <f>(I13/'Population Figures'!AJ15)*1000</f>
        <v>45.720379739797622</v>
      </c>
      <c r="X13" s="500">
        <f>(J13/'Population Figures'!AJ15)*1000</f>
        <v>19.397609251640166</v>
      </c>
      <c r="Y13" s="504"/>
      <c r="Z13" s="504"/>
      <c r="AA13" s="501">
        <f>(M13/'Population Figures'!AJ15)*1000</f>
        <v>22.117569220504841</v>
      </c>
    </row>
    <row r="14" spans="1:27">
      <c r="A14" s="7" t="s">
        <v>140</v>
      </c>
      <c r="B14" s="425">
        <f t="shared" si="1"/>
        <v>364334.84370000003</v>
      </c>
      <c r="C14" s="280">
        <f t="shared" si="1"/>
        <v>1910.8234500000001</v>
      </c>
      <c r="D14" s="425">
        <f t="shared" si="1"/>
        <v>76.278450000000007</v>
      </c>
      <c r="E14" s="425">
        <f t="shared" si="1"/>
        <v>89606.902199999997</v>
      </c>
      <c r="F14" s="280">
        <f t="shared" si="1"/>
        <v>151624.17869999999</v>
      </c>
      <c r="G14" s="425">
        <f t="shared" si="1"/>
        <v>23306.445899999999</v>
      </c>
      <c r="H14" s="425">
        <f t="shared" si="1"/>
        <v>61737.267</v>
      </c>
      <c r="I14" s="425">
        <f t="shared" si="1"/>
        <v>15320.38185</v>
      </c>
      <c r="J14" s="425">
        <f t="shared" si="3"/>
        <v>7707.0200999999997</v>
      </c>
      <c r="K14" s="504"/>
      <c r="L14" s="504"/>
      <c r="M14" s="280">
        <f t="shared" si="2"/>
        <v>13045.546050000001</v>
      </c>
      <c r="N14" s="233"/>
      <c r="O14" s="7" t="s">
        <v>140</v>
      </c>
      <c r="P14" s="425">
        <f>(B14*1000)/SUM('Population Figures'!$AI16:$AK16)</f>
        <v>739.4959074855891</v>
      </c>
      <c r="Q14" s="280">
        <f>(C14/SUM('Population Figures'!AI16:AK16))*1000</f>
        <v>3.8784270723390439</v>
      </c>
      <c r="R14" s="425">
        <f>(D14/'Population Figures'!AI16)*1000</f>
        <v>0.90190304463493953</v>
      </c>
      <c r="S14" s="425">
        <f>(E14/'Population Figures'!AI16)*1000</f>
        <v>1059.4963310671001</v>
      </c>
      <c r="T14" s="280">
        <f>(F14/'Population Figures'!AH16)*1000</f>
        <v>2099.0112783099839</v>
      </c>
      <c r="U14" s="425">
        <f>(G14/'Population Figures'!AJ16)*1000</f>
        <v>69.717992138703423</v>
      </c>
      <c r="V14" s="425">
        <f>(H14/'Population Figures'!AJ16)*1000</f>
        <v>184.67844963744707</v>
      </c>
      <c r="W14" s="425">
        <f>(I14/'Population Figures'!AJ16)*1000</f>
        <v>45.828791998707729</v>
      </c>
      <c r="X14" s="500">
        <f>(J14/'Population Figures'!AJ16)*1000</f>
        <v>23.054478964749801</v>
      </c>
      <c r="Y14" s="504"/>
      <c r="Z14" s="504"/>
      <c r="AA14" s="501">
        <f>(M14/'Population Figures'!AJ16)*1000</f>
        <v>39.023937019886574</v>
      </c>
    </row>
    <row r="15" spans="1:27">
      <c r="A15" s="7" t="s">
        <v>42</v>
      </c>
      <c r="B15" s="425">
        <f t="shared" si="1"/>
        <v>27154.162650000002</v>
      </c>
      <c r="C15" s="280">
        <f t="shared" si="1"/>
        <v>595.74435000000005</v>
      </c>
      <c r="D15" s="425">
        <f t="shared" si="1"/>
        <v>31.863150000000001</v>
      </c>
      <c r="E15" s="425">
        <f t="shared" si="1"/>
        <v>3428.6680500000002</v>
      </c>
      <c r="F15" s="280">
        <f t="shared" si="1"/>
        <v>17169.410100000001</v>
      </c>
      <c r="G15" s="425">
        <f t="shared" si="1"/>
        <v>1127.7624000000001</v>
      </c>
      <c r="H15" s="425">
        <f t="shared" si="1"/>
        <v>3674.8833</v>
      </c>
      <c r="I15" s="425">
        <f t="shared" si="1"/>
        <v>647.88405</v>
      </c>
      <c r="J15" s="425">
        <f t="shared" si="3"/>
        <v>145.79804999999999</v>
      </c>
      <c r="K15" s="504"/>
      <c r="L15" s="504"/>
      <c r="M15" s="280">
        <f t="shared" si="2"/>
        <v>332.14920000000001</v>
      </c>
      <c r="N15" s="233"/>
      <c r="O15" s="7" t="s">
        <v>42</v>
      </c>
      <c r="P15" s="425">
        <f>(B15*1000)/SUM('Population Figures'!$AI17:$AK17)</f>
        <v>996.48303302752299</v>
      </c>
      <c r="Q15" s="280">
        <f>(C15/SUM('Population Figures'!AI17:AK17))*1000</f>
        <v>21.862177981651378</v>
      </c>
      <c r="R15" s="425">
        <f>(D15/'Population Figures'!AI17)*1000</f>
        <v>6.3283316782522343</v>
      </c>
      <c r="S15" s="425">
        <f>(E15/'Population Figures'!AI17)*1000</f>
        <v>680.96684210526314</v>
      </c>
      <c r="T15" s="280">
        <f>(F15/'Population Figures'!AH17)*1000</f>
        <v>2740.0909830833066</v>
      </c>
      <c r="U15" s="425">
        <f>(G15/'Population Figures'!AJ17)*1000</f>
        <v>71.517686600291711</v>
      </c>
      <c r="V15" s="425">
        <f>(H15/'Population Figures'!AJ17)*1000</f>
        <v>233.04479041156699</v>
      </c>
      <c r="W15" s="425">
        <f>(I15/'Population Figures'!AJ17)*1000</f>
        <v>41.085931257530603</v>
      </c>
      <c r="X15" s="500">
        <f>(J15/'Population Figures'!AJ17)*1000</f>
        <v>9.2458653053459319</v>
      </c>
      <c r="Y15" s="504"/>
      <c r="Z15" s="504"/>
      <c r="AA15" s="501">
        <f>(M15/'Population Figures'!AJ17)*1000</f>
        <v>21.063428245291394</v>
      </c>
    </row>
    <row r="16" spans="1:27">
      <c r="A16" s="7" t="s">
        <v>43</v>
      </c>
      <c r="B16" s="425">
        <f t="shared" si="1"/>
        <v>112107.11385000001</v>
      </c>
      <c r="C16" s="280">
        <f t="shared" si="1"/>
        <v>507.8793</v>
      </c>
      <c r="D16" s="425">
        <f t="shared" si="1"/>
        <v>84.002849999999995</v>
      </c>
      <c r="E16" s="425">
        <f t="shared" si="1"/>
        <v>26568.073800000002</v>
      </c>
      <c r="F16" s="280">
        <f t="shared" si="1"/>
        <v>47042.561549999999</v>
      </c>
      <c r="G16" s="425">
        <f t="shared" si="1"/>
        <v>10767.813599999999</v>
      </c>
      <c r="H16" s="425">
        <f t="shared" si="1"/>
        <v>17258.240700000002</v>
      </c>
      <c r="I16" s="425">
        <f t="shared" si="1"/>
        <v>5506.5316499999999</v>
      </c>
      <c r="J16" s="425">
        <f t="shared" si="3"/>
        <v>803.33760000000007</v>
      </c>
      <c r="K16" s="504"/>
      <c r="L16" s="504"/>
      <c r="M16" s="280">
        <f t="shared" si="2"/>
        <v>3568.6728000000003</v>
      </c>
      <c r="N16" s="233"/>
      <c r="O16" s="7" t="s">
        <v>43</v>
      </c>
      <c r="P16" s="425">
        <f>(B16*1000)/SUM('Population Figures'!$AI18:$AK18)</f>
        <v>711.15905766302978</v>
      </c>
      <c r="Q16" s="280">
        <f>(C16/SUM('Population Figures'!AI18:AK18))*1000</f>
        <v>3.2217666835828469</v>
      </c>
      <c r="R16" s="425">
        <f>(D16/'Population Figures'!AI18)*1000</f>
        <v>2.6309264305177109</v>
      </c>
      <c r="S16" s="425">
        <f>(E16/'Population Figures'!AI18)*1000</f>
        <v>832.09852485201554</v>
      </c>
      <c r="T16" s="280">
        <f>(F16/'Population Figures'!AH18)*1000</f>
        <v>1729.8875321762152</v>
      </c>
      <c r="U16" s="425">
        <f>(G16/'Population Figures'!AJ18)*1000</f>
        <v>110.15666086956521</v>
      </c>
      <c r="V16" s="425">
        <f>(H16/'Population Figures'!AJ18)*1000</f>
        <v>176.55489207161128</v>
      </c>
      <c r="W16" s="425">
        <f>(I16/'Population Figures'!AJ18)*1000</f>
        <v>56.332804603580563</v>
      </c>
      <c r="X16" s="500">
        <f>(J16/'Population Figures'!AJ18)*1000</f>
        <v>8.2182874680306917</v>
      </c>
      <c r="Y16" s="504"/>
      <c r="Z16" s="504"/>
      <c r="AA16" s="501">
        <f>(M16/'Population Figures'!AJ18)*1000</f>
        <v>36.508161636828646</v>
      </c>
    </row>
    <row r="17" spans="1:27">
      <c r="A17" s="7" t="s">
        <v>44</v>
      </c>
      <c r="B17" s="425">
        <f t="shared" si="1"/>
        <v>267076.92330000002</v>
      </c>
      <c r="C17" s="280">
        <f t="shared" si="1"/>
        <v>642.09074999999996</v>
      </c>
      <c r="D17" s="425">
        <f t="shared" si="1"/>
        <v>32.828699999999998</v>
      </c>
      <c r="E17" s="425">
        <f t="shared" si="1"/>
        <v>64065.208050000001</v>
      </c>
      <c r="F17" s="280">
        <f t="shared" si="1"/>
        <v>106042.49430000001</v>
      </c>
      <c r="G17" s="425">
        <f t="shared" si="1"/>
        <v>20749.6695</v>
      </c>
      <c r="H17" s="425">
        <f t="shared" si="1"/>
        <v>54506.263050000001</v>
      </c>
      <c r="I17" s="425">
        <f t="shared" si="1"/>
        <v>10170.138150000001</v>
      </c>
      <c r="J17" s="425">
        <f t="shared" si="3"/>
        <v>3610.1914500000003</v>
      </c>
      <c r="K17" s="504"/>
      <c r="L17" s="504"/>
      <c r="M17" s="280">
        <f t="shared" si="2"/>
        <v>7258.03935</v>
      </c>
      <c r="N17" s="233"/>
      <c r="O17" s="7" t="s">
        <v>44</v>
      </c>
      <c r="P17" s="425">
        <f>(B17*1000)/SUM('Population Figures'!$AI19:$AK19)</f>
        <v>727.21484316288195</v>
      </c>
      <c r="Q17" s="280">
        <f>(C17/SUM('Population Figures'!AI19:AK19))*1000</f>
        <v>1.7483274791700703</v>
      </c>
      <c r="R17" s="425">
        <f>(D17/'Population Figures'!AI19)*1000</f>
        <v>0.45250382500103375</v>
      </c>
      <c r="S17" s="425">
        <f>(E17/'Population Figures'!AI19)*1000</f>
        <v>883.06121448951751</v>
      </c>
      <c r="T17" s="280">
        <f>(F17/'Population Figures'!AH19)*1000</f>
        <v>1536.4914556044976</v>
      </c>
      <c r="U17" s="425">
        <f>(G17/'Population Figures'!AJ19)*1000</f>
        <v>92.77824751395049</v>
      </c>
      <c r="V17" s="425">
        <f>(H17/'Population Figures'!AJ19)*1000</f>
        <v>243.71451141973102</v>
      </c>
      <c r="W17" s="425">
        <f>(I17/'Population Figures'!AJ19)*1000</f>
        <v>45.473861380383468</v>
      </c>
      <c r="X17" s="500">
        <f>(J17/'Population Figures'!AJ19)*1000</f>
        <v>16.142292575833451</v>
      </c>
      <c r="Y17" s="504"/>
      <c r="Z17" s="504"/>
      <c r="AA17" s="501">
        <f>(M17/'Population Figures'!AJ19)*1000</f>
        <v>32.452958890756904</v>
      </c>
    </row>
    <row r="18" spans="1:27">
      <c r="A18" s="7" t="s">
        <v>45</v>
      </c>
      <c r="B18" s="425">
        <f t="shared" si="1"/>
        <v>521256.99525000004</v>
      </c>
      <c r="C18" s="280">
        <f t="shared" si="1"/>
        <v>776.30219999999997</v>
      </c>
      <c r="D18" s="425">
        <f t="shared" si="1"/>
        <v>160.28130000000002</v>
      </c>
      <c r="E18" s="425">
        <f t="shared" si="1"/>
        <v>147405.69075000001</v>
      </c>
      <c r="F18" s="280">
        <f t="shared" si="1"/>
        <v>213526.55475000001</v>
      </c>
      <c r="G18" s="425">
        <f t="shared" si="1"/>
        <v>30187.920750000001</v>
      </c>
      <c r="H18" s="425">
        <f t="shared" si="1"/>
        <v>66253.144350000002</v>
      </c>
      <c r="I18" s="425">
        <f t="shared" si="1"/>
        <v>21047.0589</v>
      </c>
      <c r="J18" s="425">
        <f t="shared" si="3"/>
        <v>24351.171000000002</v>
      </c>
      <c r="K18" s="504"/>
      <c r="L18" s="504"/>
      <c r="M18" s="280">
        <f t="shared" si="2"/>
        <v>17548.87125</v>
      </c>
      <c r="N18" s="233"/>
      <c r="O18" s="7" t="s">
        <v>45</v>
      </c>
      <c r="P18" s="425">
        <f>(B18*1000)/SUM('Population Figures'!$AI20:$AK20)</f>
        <v>869.2687321771034</v>
      </c>
      <c r="Q18" s="280">
        <f>(C18/SUM('Population Figures'!AI20:AK20))*1000</f>
        <v>1.2945921787709496</v>
      </c>
      <c r="R18" s="425">
        <f>(D18/'Population Figures'!AI20)*1000</f>
        <v>1.4671594383318385</v>
      </c>
      <c r="S18" s="425">
        <f>(E18/'Population Figures'!AI20)*1000</f>
        <v>1349.3005762224707</v>
      </c>
      <c r="T18" s="280">
        <f>(F18/'Population Figures'!AH20)*1000</f>
        <v>2566.7025850152058</v>
      </c>
      <c r="U18" s="425">
        <f>(G18/'Population Figures'!AJ20)*1000</f>
        <v>74.195311904756068</v>
      </c>
      <c r="V18" s="425">
        <f>(H18/'Population Figures'!AJ20)*1000</f>
        <v>162.83574978310077</v>
      </c>
      <c r="W18" s="425">
        <f>(I18/'Population Figures'!AJ20)*1000</f>
        <v>51.729071130653203</v>
      </c>
      <c r="X18" s="500">
        <f>(J18/'Population Figures'!AJ20)*1000</f>
        <v>59.849856588451871</v>
      </c>
      <c r="Y18" s="504"/>
      <c r="Z18" s="504"/>
      <c r="AA18" s="501">
        <f>(M18/'Population Figures'!AJ20)*1000</f>
        <v>43.131290384421604</v>
      </c>
    </row>
    <row r="19" spans="1:27">
      <c r="A19" s="7" t="s">
        <v>46</v>
      </c>
      <c r="B19" s="425">
        <f t="shared" si="1"/>
        <v>144892.36410000001</v>
      </c>
      <c r="C19" s="280">
        <f t="shared" si="1"/>
        <v>542.63909999999998</v>
      </c>
      <c r="D19" s="425">
        <f t="shared" si="1"/>
        <v>116.83155000000001</v>
      </c>
      <c r="E19" s="425">
        <f t="shared" si="1"/>
        <v>44289.7785</v>
      </c>
      <c r="F19" s="280">
        <f t="shared" si="1"/>
        <v>52680.408000000003</v>
      </c>
      <c r="G19" s="425">
        <f t="shared" si="1"/>
        <v>7193.3474999999999</v>
      </c>
      <c r="H19" s="425">
        <f t="shared" si="1"/>
        <v>27460.242000000002</v>
      </c>
      <c r="I19" s="425">
        <f t="shared" si="1"/>
        <v>6510.7036500000004</v>
      </c>
      <c r="J19" s="425">
        <f t="shared" si="3"/>
        <v>2830.9926</v>
      </c>
      <c r="K19" s="504"/>
      <c r="L19" s="504"/>
      <c r="M19" s="280">
        <f t="shared" si="2"/>
        <v>3267.4212000000002</v>
      </c>
      <c r="N19" s="233"/>
      <c r="O19" s="7" t="s">
        <v>46</v>
      </c>
      <c r="P19" s="425">
        <f>(B19*1000)/SUM('Population Figures'!$AI21:$AK21)</f>
        <v>621.58886357786355</v>
      </c>
      <c r="Q19" s="280">
        <f>(C19/SUM('Population Figures'!AI21:AK21))*1000</f>
        <v>2.3279240669240671</v>
      </c>
      <c r="R19" s="425">
        <f>(D19/'Population Figures'!AI21)*1000</f>
        <v>2.5686296280010557</v>
      </c>
      <c r="S19" s="425">
        <f>(E19/'Population Figures'!AI21)*1000</f>
        <v>973.74414079676376</v>
      </c>
      <c r="T19" s="280">
        <f>(F19/'Population Figures'!AH21)*1000</f>
        <v>1131.9139683290002</v>
      </c>
      <c r="U19" s="425">
        <f>(G19/'Population Figures'!AJ21)*1000</f>
        <v>51.527908109540761</v>
      </c>
      <c r="V19" s="425">
        <f>(H19/'Population Figures'!AJ21)*1000</f>
        <v>196.70519552152209</v>
      </c>
      <c r="W19" s="425">
        <f>(I19/'Population Figures'!AJ21)*1000</f>
        <v>46.637944212434007</v>
      </c>
      <c r="X19" s="500">
        <f>(J19/'Population Figures'!AJ21)*1000</f>
        <v>20.279171352640741</v>
      </c>
      <c r="Y19" s="504"/>
      <c r="Z19" s="504"/>
      <c r="AA19" s="501">
        <f>(M19/'Population Figures'!AJ21)*1000</f>
        <v>23.405428327877306</v>
      </c>
    </row>
    <row r="20" spans="1:27">
      <c r="A20" s="7" t="s">
        <v>47</v>
      </c>
      <c r="B20" s="425">
        <f t="shared" si="1"/>
        <v>64846.338000000003</v>
      </c>
      <c r="C20" s="280">
        <f t="shared" si="1"/>
        <v>1191.4887000000001</v>
      </c>
      <c r="D20" s="425">
        <f t="shared" si="1"/>
        <v>4.82775</v>
      </c>
      <c r="E20" s="425">
        <f t="shared" si="1"/>
        <v>12116.686949999999</v>
      </c>
      <c r="F20" s="280">
        <f t="shared" si="1"/>
        <v>32679.03975</v>
      </c>
      <c r="G20" s="425">
        <f t="shared" si="1"/>
        <v>3515.5675500000002</v>
      </c>
      <c r="H20" s="425">
        <f t="shared" si="1"/>
        <v>8621.3959500000001</v>
      </c>
      <c r="I20" s="425">
        <f t="shared" si="1"/>
        <v>2631.1237500000002</v>
      </c>
      <c r="J20" s="425">
        <f t="shared" si="3"/>
        <v>2009.3095499999999</v>
      </c>
      <c r="K20" s="504"/>
      <c r="L20" s="504"/>
      <c r="M20" s="280">
        <f t="shared" si="2"/>
        <v>2076.8980500000002</v>
      </c>
      <c r="N20" s="233"/>
      <c r="O20" s="7" t="s">
        <v>47</v>
      </c>
      <c r="P20" s="425">
        <f>(B20*1000)/SUM('Population Figures'!$AI22:$AK22)</f>
        <v>812.00022539444024</v>
      </c>
      <c r="Q20" s="280">
        <f>(C20/SUM('Population Figures'!AI22:AK22))*1000</f>
        <v>14.919718256949663</v>
      </c>
      <c r="R20" s="425">
        <f>(D20/'Population Figures'!AI22)*1000</f>
        <v>0.322236684020825</v>
      </c>
      <c r="S20" s="425">
        <f>(E20/'Population Figures'!AI22)*1000</f>
        <v>808.74962955546653</v>
      </c>
      <c r="T20" s="280">
        <f>(F20/'Population Figures'!AH22)*1000</f>
        <v>2117.8898088139986</v>
      </c>
      <c r="U20" s="425">
        <f>(G20/'Population Figures'!AJ22)*1000</f>
        <v>71.473510277105746</v>
      </c>
      <c r="V20" s="425">
        <f>(H20/'Population Figures'!AJ22)*1000</f>
        <v>175.27793827637385</v>
      </c>
      <c r="W20" s="425">
        <f>(I20/'Population Figures'!AJ22)*1000</f>
        <v>53.492259133510892</v>
      </c>
      <c r="X20" s="500">
        <f>(J20/'Population Figures'!AJ22)*1000</f>
        <v>40.850418809848129</v>
      </c>
      <c r="Y20" s="504"/>
      <c r="Z20" s="504"/>
      <c r="AA20" s="501">
        <f>(M20/'Population Figures'!AJ22)*1000</f>
        <v>42.22453188850713</v>
      </c>
    </row>
    <row r="21" spans="1:27">
      <c r="A21" s="7" t="s">
        <v>48</v>
      </c>
      <c r="B21" s="425">
        <f t="shared" si="1"/>
        <v>58229.423849999999</v>
      </c>
      <c r="C21" s="280">
        <f t="shared" si="1"/>
        <v>1433.84175</v>
      </c>
      <c r="D21" s="425">
        <f t="shared" si="1"/>
        <v>10.62105</v>
      </c>
      <c r="E21" s="425">
        <f t="shared" si="1"/>
        <v>14404.0749</v>
      </c>
      <c r="F21" s="280">
        <f t="shared" si="1"/>
        <v>24835.877100000002</v>
      </c>
      <c r="G21" s="425">
        <f t="shared" si="1"/>
        <v>3806.1981000000001</v>
      </c>
      <c r="H21" s="425">
        <f t="shared" si="1"/>
        <v>9976.0625999999993</v>
      </c>
      <c r="I21" s="425">
        <f t="shared" si="1"/>
        <v>1671.3670500000001</v>
      </c>
      <c r="J21" s="425">
        <f t="shared" si="3"/>
        <v>1121.0035500000001</v>
      </c>
      <c r="K21" s="504"/>
      <c r="L21" s="504"/>
      <c r="M21" s="280">
        <f t="shared" si="2"/>
        <v>970.37774999999999</v>
      </c>
      <c r="N21" s="233"/>
      <c r="O21" s="7" t="s">
        <v>48</v>
      </c>
      <c r="P21" s="425">
        <f>(B21*1000)/SUM('Population Figures'!$AI23:$AK23)</f>
        <v>675.43700092796666</v>
      </c>
      <c r="Q21" s="280">
        <f>(C21/SUM('Population Figures'!AI23:AK23))*1000</f>
        <v>16.631965549240228</v>
      </c>
      <c r="R21" s="425">
        <f>(D21/'Population Figures'!AI23)*1000</f>
        <v>0.57669815930933377</v>
      </c>
      <c r="S21" s="425">
        <f>(E21/'Population Figures'!AI23)*1000</f>
        <v>782.10755823424006</v>
      </c>
      <c r="T21" s="280">
        <f>(F21/'Population Figures'!AH23)*1000</f>
        <v>1640.4146036988111</v>
      </c>
      <c r="U21" s="425">
        <f>(G21/'Population Figures'!AJ23)*1000</f>
        <v>72.943620160981212</v>
      </c>
      <c r="V21" s="425">
        <f>(H21/'Population Figures'!AJ23)*1000</f>
        <v>191.18556151782289</v>
      </c>
      <c r="W21" s="425">
        <f>(I21/'Population Figures'!AJ23)*1000</f>
        <v>32.030798198543508</v>
      </c>
      <c r="X21" s="500">
        <f>(J21/'Population Figures'!AJ23)*1000</f>
        <v>21.483394978919129</v>
      </c>
      <c r="Y21" s="504"/>
      <c r="Z21" s="504"/>
      <c r="AA21" s="501">
        <f>(M21/'Population Figures'!AJ23)*1000</f>
        <v>18.596737255653508</v>
      </c>
    </row>
    <row r="22" spans="1:27">
      <c r="A22" s="7" t="s">
        <v>49</v>
      </c>
      <c r="B22" s="425">
        <f t="shared" si="1"/>
        <v>61266.078600000001</v>
      </c>
      <c r="C22" s="280">
        <f t="shared" si="1"/>
        <v>348.56355000000002</v>
      </c>
      <c r="D22" s="425">
        <f t="shared" si="1"/>
        <v>13.5177</v>
      </c>
      <c r="E22" s="425">
        <f t="shared" si="1"/>
        <v>16269.5175</v>
      </c>
      <c r="F22" s="280">
        <f t="shared" si="1"/>
        <v>26883.808649999999</v>
      </c>
      <c r="G22" s="425">
        <f t="shared" si="1"/>
        <v>3773.3694</v>
      </c>
      <c r="H22" s="425">
        <f t="shared" si="1"/>
        <v>9889.1630999999998</v>
      </c>
      <c r="I22" s="425">
        <f t="shared" si="1"/>
        <v>2158.9697999999999</v>
      </c>
      <c r="J22" s="425">
        <f t="shared" si="3"/>
        <v>1068.86385</v>
      </c>
      <c r="K22" s="504"/>
      <c r="L22" s="504"/>
      <c r="M22" s="280">
        <f t="shared" si="2"/>
        <v>860.30505000000005</v>
      </c>
      <c r="N22" s="233"/>
      <c r="O22" s="7" t="s">
        <v>49</v>
      </c>
      <c r="P22" s="425">
        <f>(B22*1000)/SUM('Population Figures'!$AI24:$AK24)</f>
        <v>646.60768970976255</v>
      </c>
      <c r="Q22" s="280">
        <f>(C22/SUM('Population Figures'!AI24:AK24))*1000</f>
        <v>3.6787709762532983</v>
      </c>
      <c r="R22" s="425">
        <f>(D22/'Population Figures'!AI24)*1000</f>
        <v>0.70970231532524797</v>
      </c>
      <c r="S22" s="425">
        <f>(E22/'Population Figures'!AI24)*1000</f>
        <v>854.17742951645926</v>
      </c>
      <c r="T22" s="280">
        <f>(F22/'Population Figures'!AH24)*1000</f>
        <v>1454.6728342622152</v>
      </c>
      <c r="U22" s="425">
        <f>(G22/'Population Figures'!AJ24)*1000</f>
        <v>66.546203904555313</v>
      </c>
      <c r="V22" s="425">
        <f>(H22/'Population Figures'!AJ24)*1000</f>
        <v>174.40281995661604</v>
      </c>
      <c r="W22" s="425">
        <f>(I22/'Population Figures'!AJ24)*1000</f>
        <v>38.075054229934921</v>
      </c>
      <c r="X22" s="500">
        <f>(J22/'Population Figures'!AJ24)*1000</f>
        <v>18.850216919739697</v>
      </c>
      <c r="Y22" s="504"/>
      <c r="Z22" s="504"/>
      <c r="AA22" s="501">
        <f>(M22/'Population Figures'!AJ24)*1000</f>
        <v>15.172125813449025</v>
      </c>
    </row>
    <row r="23" spans="1:27">
      <c r="A23" s="7" t="s">
        <v>50</v>
      </c>
      <c r="B23" s="425">
        <f t="shared" si="1"/>
        <v>111658.13310000001</v>
      </c>
      <c r="C23" s="280">
        <f t="shared" si="1"/>
        <v>1075.6227000000001</v>
      </c>
      <c r="D23" s="425">
        <f t="shared" si="1"/>
        <v>90.761700000000005</v>
      </c>
      <c r="E23" s="425">
        <f t="shared" si="1"/>
        <v>27552.934799999999</v>
      </c>
      <c r="F23" s="280">
        <f t="shared" si="1"/>
        <v>55044.074399999998</v>
      </c>
      <c r="G23" s="425">
        <f t="shared" si="1"/>
        <v>4844.16435</v>
      </c>
      <c r="H23" s="425">
        <f t="shared" si="1"/>
        <v>14385.729450000001</v>
      </c>
      <c r="I23" s="425">
        <f t="shared" si="1"/>
        <v>2988.37725</v>
      </c>
      <c r="J23" s="425">
        <f t="shared" si="3"/>
        <v>1618.2618</v>
      </c>
      <c r="K23" s="504"/>
      <c r="L23" s="504"/>
      <c r="M23" s="280">
        <f t="shared" si="2"/>
        <v>4058.2066500000001</v>
      </c>
      <c r="N23" s="233"/>
      <c r="O23" s="7" t="s">
        <v>50</v>
      </c>
      <c r="P23" s="425">
        <f>(B23*1000)/SUM('Population Figures'!$AI25:$AK25)</f>
        <v>818.30804763649689</v>
      </c>
      <c r="Q23" s="280">
        <f>(C23/SUM('Population Figures'!AI25:AK25))*1000</f>
        <v>7.8829072920483698</v>
      </c>
      <c r="R23" s="425">
        <f>(D23/'Population Figures'!AI25)*1000</f>
        <v>3.3935950644980371</v>
      </c>
      <c r="S23" s="425">
        <f>(E23/'Population Figures'!AI25)*1000</f>
        <v>1030.2088166012338</v>
      </c>
      <c r="T23" s="280">
        <f>(F23/'Population Figures'!AH25)*1000</f>
        <v>1979.0772084996224</v>
      </c>
      <c r="U23" s="425">
        <f>(G23/'Population Figures'!AJ25)*1000</f>
        <v>59.646178045927478</v>
      </c>
      <c r="V23" s="425">
        <f>(H23/'Population Figures'!AJ25)*1000</f>
        <v>177.13143446407685</v>
      </c>
      <c r="W23" s="425">
        <f>(I23/'Population Figures'!AJ25)*1000</f>
        <v>36.795878224465923</v>
      </c>
      <c r="X23" s="500">
        <f>(J23/'Population Figures'!AJ25)*1000</f>
        <v>19.925651665332762</v>
      </c>
      <c r="Y23" s="504"/>
      <c r="Z23" s="504"/>
      <c r="AA23" s="501">
        <f>(M23/'Population Figures'!AJ25)*1000</f>
        <v>49.968683740688299</v>
      </c>
    </row>
    <row r="24" spans="1:27">
      <c r="A24" s="7" t="s">
        <v>51</v>
      </c>
      <c r="B24" s="425">
        <f t="shared" si="1"/>
        <v>199930.6452</v>
      </c>
      <c r="C24" s="280">
        <f t="shared" si="1"/>
        <v>4860.5787</v>
      </c>
      <c r="D24" s="425">
        <f t="shared" si="1"/>
        <v>19.311</v>
      </c>
      <c r="E24" s="425">
        <f t="shared" si="1"/>
        <v>32317.924050000001</v>
      </c>
      <c r="F24" s="280">
        <f t="shared" si="1"/>
        <v>87465.312300000005</v>
      </c>
      <c r="G24" s="425">
        <f t="shared" si="1"/>
        <v>11223.5532</v>
      </c>
      <c r="H24" s="425">
        <f t="shared" si="1"/>
        <v>43269.192150000003</v>
      </c>
      <c r="I24" s="425">
        <f t="shared" si="1"/>
        <v>12030.753000000001</v>
      </c>
      <c r="J24" s="425">
        <f t="shared" si="3"/>
        <v>1758.2665500000001</v>
      </c>
      <c r="K24" s="504"/>
      <c r="L24" s="504"/>
      <c r="M24" s="280">
        <f t="shared" si="2"/>
        <v>6985.75425</v>
      </c>
      <c r="N24" s="233"/>
      <c r="O24" s="7" t="s">
        <v>51</v>
      </c>
      <c r="P24" s="425">
        <f>(B24*1000)/SUM('Population Figures'!$AI26:$AK26)</f>
        <v>591.5982991566799</v>
      </c>
      <c r="Q24" s="280">
        <f>(C24/SUM('Population Figures'!AI26:AK26))*1000</f>
        <v>14.382537949400799</v>
      </c>
      <c r="R24" s="425">
        <f>(D24/'Population Figures'!AI26)*1000</f>
        <v>0.26809662640566434</v>
      </c>
      <c r="S24" s="425">
        <f>(E24/'Population Figures'!AI26)*1000</f>
        <v>448.6731091211995</v>
      </c>
      <c r="T24" s="280">
        <f>(F24/'Population Figures'!AH26)*1000</f>
        <v>1634.4684898996506</v>
      </c>
      <c r="U24" s="425">
        <f>(G24/'Population Figures'!AJ26)*1000</f>
        <v>53.15994657269524</v>
      </c>
      <c r="V24" s="425">
        <f>(H24/'Population Figures'!AJ26)*1000</f>
        <v>204.94293580197794</v>
      </c>
      <c r="W24" s="425">
        <f>(I24/'Population Figures'!AJ26)*1000</f>
        <v>56.983218710924184</v>
      </c>
      <c r="X24" s="500">
        <f>(J24/'Population Figures'!AJ26)*1000</f>
        <v>8.3279647891326594</v>
      </c>
      <c r="Y24" s="504"/>
      <c r="Z24" s="504"/>
      <c r="AA24" s="501">
        <f>(M24/'Population Figures'!AJ26)*1000</f>
        <v>33.087767846993295</v>
      </c>
    </row>
    <row r="25" spans="1:27">
      <c r="A25" s="7" t="s">
        <v>52</v>
      </c>
      <c r="B25" s="425">
        <f t="shared" si="1"/>
        <v>22562.972399999999</v>
      </c>
      <c r="C25" s="280">
        <f t="shared" si="1"/>
        <v>1057.2772500000001</v>
      </c>
      <c r="D25" s="425">
        <f t="shared" si="1"/>
        <v>0</v>
      </c>
      <c r="E25" s="425">
        <f t="shared" si="1"/>
        <v>3279.0077999999999</v>
      </c>
      <c r="F25" s="280">
        <f t="shared" si="1"/>
        <v>13024.30395</v>
      </c>
      <c r="G25" s="425">
        <f t="shared" si="1"/>
        <v>1184.7298499999999</v>
      </c>
      <c r="H25" s="425">
        <f t="shared" si="1"/>
        <v>3202.7293500000001</v>
      </c>
      <c r="I25" s="425">
        <f t="shared" si="1"/>
        <v>475.05060000000003</v>
      </c>
      <c r="J25" s="425">
        <f t="shared" si="3"/>
        <v>48.277500000000003</v>
      </c>
      <c r="K25" s="504"/>
      <c r="L25" s="504"/>
      <c r="M25" s="280">
        <f t="shared" si="2"/>
        <v>291.59609999999998</v>
      </c>
      <c r="N25" s="233"/>
      <c r="O25" s="7" t="s">
        <v>52</v>
      </c>
      <c r="P25" s="425">
        <f>(B25*1000)/SUM('Population Figures'!$AI27:$AK27)</f>
        <v>1045.0658823529411</v>
      </c>
      <c r="Q25" s="280">
        <f>(C25/SUM('Population Figures'!AI27:AK27))*1000</f>
        <v>48.970692450208439</v>
      </c>
      <c r="R25" s="425">
        <f>(D25/'Population Figures'!AI27)*1000</f>
        <v>0</v>
      </c>
      <c r="S25" s="425">
        <f>(E25/'Population Figures'!AI27)*1000</f>
        <v>817.50381451009719</v>
      </c>
      <c r="T25" s="280">
        <f>(F25/'Population Figures'!AH27)*1000</f>
        <v>2856.2070065789471</v>
      </c>
      <c r="U25" s="425">
        <f>(G25/'Population Figures'!AJ27)*1000</f>
        <v>92.110857564919925</v>
      </c>
      <c r="V25" s="425">
        <f>(H25/'Population Figures'!AJ27)*1000</f>
        <v>249.00710231690252</v>
      </c>
      <c r="W25" s="425">
        <f>(I25/'Population Figures'!AJ27)*1000</f>
        <v>36.934426994246621</v>
      </c>
      <c r="X25" s="500">
        <f>(J25/'Population Figures'!AJ27)*1000</f>
        <v>3.7534986782770954</v>
      </c>
      <c r="Y25" s="504"/>
      <c r="Z25" s="504"/>
      <c r="AA25" s="501">
        <f>(M25/'Population Figures'!AJ27)*1000</f>
        <v>22.671132016793653</v>
      </c>
    </row>
    <row r="26" spans="1:27">
      <c r="A26" s="7" t="s">
        <v>53</v>
      </c>
      <c r="B26" s="425">
        <f t="shared" si="1"/>
        <v>87192.061650000003</v>
      </c>
      <c r="C26" s="280">
        <f t="shared" si="1"/>
        <v>279.04395</v>
      </c>
      <c r="D26" s="425">
        <f t="shared" si="1"/>
        <v>0</v>
      </c>
      <c r="E26" s="425">
        <f t="shared" si="1"/>
        <v>17127.891449999999</v>
      </c>
      <c r="F26" s="280">
        <f t="shared" si="1"/>
        <v>42679.241099999999</v>
      </c>
      <c r="G26" s="425">
        <f t="shared" si="1"/>
        <v>3343.69965</v>
      </c>
      <c r="H26" s="425">
        <f t="shared" si="1"/>
        <v>15659.2899</v>
      </c>
      <c r="I26" s="425">
        <f t="shared" si="1"/>
        <v>4164.4171500000002</v>
      </c>
      <c r="J26" s="425">
        <f t="shared" si="3"/>
        <v>1012.86195</v>
      </c>
      <c r="K26" s="504"/>
      <c r="L26" s="504"/>
      <c r="M26" s="280">
        <f t="shared" si="2"/>
        <v>2925.6165000000001</v>
      </c>
      <c r="N26" s="233"/>
      <c r="O26" s="7" t="s">
        <v>53</v>
      </c>
      <c r="P26" s="425">
        <f>(B26*1000)/SUM('Population Figures'!$AI28:$AK28)</f>
        <v>585.65328889038153</v>
      </c>
      <c r="Q26" s="280">
        <f>(C26/SUM('Population Figures'!AI28:AK28))*1000</f>
        <v>1.8742876813541105</v>
      </c>
      <c r="R26" s="425">
        <f>(D26/'Population Figures'!AI28)*1000</f>
        <v>0</v>
      </c>
      <c r="S26" s="425">
        <f>(E26/'Population Figures'!AI28)*1000</f>
        <v>608.25638161866539</v>
      </c>
      <c r="T26" s="280">
        <f>(F26/'Population Figures'!AH28)*1000</f>
        <v>1344.863434693556</v>
      </c>
      <c r="U26" s="425">
        <f>(G26/'Population Figures'!AJ28)*1000</f>
        <v>37.908277875403883</v>
      </c>
      <c r="V26" s="425">
        <f>(H26/'Population Figures'!AJ28)*1000</f>
        <v>177.53290516410632</v>
      </c>
      <c r="W26" s="425">
        <f>(I26/'Population Figures'!AJ28)*1000</f>
        <v>47.212937475199823</v>
      </c>
      <c r="X26" s="500">
        <f>(J26/'Population Figures'!AJ28)*1000</f>
        <v>11.483044611983448</v>
      </c>
      <c r="Y26" s="504"/>
      <c r="Z26" s="504"/>
      <c r="AA26" s="501">
        <f>(M26/'Population Figures'!AJ28)*1000</f>
        <v>33.168374808684312</v>
      </c>
    </row>
    <row r="27" spans="1:27">
      <c r="A27" s="7" t="s">
        <v>54</v>
      </c>
      <c r="B27" s="425">
        <f t="shared" si="1"/>
        <v>130691.05470000001</v>
      </c>
      <c r="C27" s="280">
        <f t="shared" si="1"/>
        <v>529.12139999999999</v>
      </c>
      <c r="D27" s="425">
        <f t="shared" si="1"/>
        <v>0</v>
      </c>
      <c r="E27" s="425">
        <f t="shared" si="1"/>
        <v>34878.56265</v>
      </c>
      <c r="F27" s="280">
        <f t="shared" si="1"/>
        <v>54962.002650000002</v>
      </c>
      <c r="G27" s="425">
        <f t="shared" si="1"/>
        <v>7118.0346</v>
      </c>
      <c r="H27" s="425">
        <f t="shared" si="1"/>
        <v>22071.507450000001</v>
      </c>
      <c r="I27" s="425">
        <f t="shared" si="1"/>
        <v>4716.7117500000004</v>
      </c>
      <c r="J27" s="425">
        <f t="shared" si="3"/>
        <v>2137.7276999999999</v>
      </c>
      <c r="K27" s="504"/>
      <c r="L27" s="504"/>
      <c r="M27" s="280">
        <f t="shared" si="2"/>
        <v>4277.3865000000005</v>
      </c>
      <c r="N27" s="233"/>
      <c r="O27" s="7" t="s">
        <v>54</v>
      </c>
      <c r="P27" s="425">
        <f>(B27*1000)/SUM('Population Figures'!$AI29:$AK29)</f>
        <v>750.10649543706597</v>
      </c>
      <c r="Q27" s="280">
        <f>(C27/SUM('Population Figures'!AI29:AK29))*1000</f>
        <v>3.0369132755553006</v>
      </c>
      <c r="R27" s="425">
        <f>(D27/'Population Figures'!AI29)*1000</f>
        <v>0</v>
      </c>
      <c r="S27" s="425">
        <f>(E27/'Population Figures'!AI29)*1000</f>
        <v>1023.371945601784</v>
      </c>
      <c r="T27" s="280">
        <f>(F27/'Population Figures'!AH29)*1000</f>
        <v>1768.8025826280052</v>
      </c>
      <c r="U27" s="425">
        <f>(G27/'Population Figures'!AJ29)*1000</f>
        <v>65.666343164478718</v>
      </c>
      <c r="V27" s="425">
        <f>(H27/'Population Figures'!AJ29)*1000</f>
        <v>203.61732750906393</v>
      </c>
      <c r="W27" s="425">
        <f>(I27/'Population Figures'!AJ29)*1000</f>
        <v>43.51330525752558</v>
      </c>
      <c r="X27" s="500">
        <f>(J27/'Population Figures'!AJ29)*1000</f>
        <v>19.721281031762871</v>
      </c>
      <c r="Y27" s="504"/>
      <c r="Z27" s="504"/>
      <c r="AA27" s="501">
        <f>(M27/'Population Figures'!AJ29)*1000</f>
        <v>39.460377132208457</v>
      </c>
    </row>
    <row r="28" spans="1:27">
      <c r="A28" s="7" t="s">
        <v>55</v>
      </c>
      <c r="B28" s="425">
        <f t="shared" si="1"/>
        <v>78466.386299999998</v>
      </c>
      <c r="C28" s="280">
        <f t="shared" si="1"/>
        <v>348.56355000000002</v>
      </c>
      <c r="D28" s="425">
        <f t="shared" si="1"/>
        <v>17.379899999999999</v>
      </c>
      <c r="E28" s="425">
        <f t="shared" si="1"/>
        <v>13278.2436</v>
      </c>
      <c r="F28" s="280">
        <f t="shared" si="1"/>
        <v>36515.169900000001</v>
      </c>
      <c r="G28" s="425">
        <f t="shared" si="1"/>
        <v>6093.5860499999999</v>
      </c>
      <c r="H28" s="425">
        <f t="shared" si="1"/>
        <v>17954.402249999999</v>
      </c>
      <c r="I28" s="425">
        <f t="shared" si="1"/>
        <v>2757.6107999999999</v>
      </c>
      <c r="J28" s="425">
        <f t="shared" si="3"/>
        <v>300.28604999999999</v>
      </c>
      <c r="K28" s="504"/>
      <c r="L28" s="504"/>
      <c r="M28" s="280">
        <f t="shared" si="2"/>
        <v>1201.1442</v>
      </c>
      <c r="N28" s="233"/>
      <c r="O28" s="7" t="s">
        <v>55</v>
      </c>
      <c r="P28" s="425">
        <f>(B28*1000)/SUM('Population Figures'!$AI30:$AK30)</f>
        <v>688.12054985530119</v>
      </c>
      <c r="Q28" s="280">
        <f>(C28/SUM('Population Figures'!AI30:AK30))*1000</f>
        <v>3.0567705866877137</v>
      </c>
      <c r="R28" s="425">
        <f>(D28/'Population Figures'!AI30)*1000</f>
        <v>0.80250727247541209</v>
      </c>
      <c r="S28" s="425">
        <f>(E28/'Population Figures'!AI30)*1000</f>
        <v>613.11555617121485</v>
      </c>
      <c r="T28" s="280">
        <f>(F28/'Population Figures'!AH30)*1000</f>
        <v>1420.7131701813089</v>
      </c>
      <c r="U28" s="425">
        <f>(G28/'Population Figures'!AJ30)*1000</f>
        <v>92.268345143999269</v>
      </c>
      <c r="V28" s="425">
        <f>(H28/'Population Figures'!AJ30)*1000</f>
        <v>271.86339374943219</v>
      </c>
      <c r="W28" s="425">
        <f>(I28/'Population Figures'!AJ30)*1000</f>
        <v>41.755410193513221</v>
      </c>
      <c r="X28" s="500">
        <f>(J28/'Population Figures'!AJ30)*1000</f>
        <v>4.5468951576269649</v>
      </c>
      <c r="Y28" s="504"/>
      <c r="Z28" s="504"/>
      <c r="AA28" s="501">
        <f>(M28/'Population Figures'!AJ30)*1000</f>
        <v>18.18758063050786</v>
      </c>
    </row>
    <row r="29" spans="1:27">
      <c r="A29" s="7" t="s">
        <v>56</v>
      </c>
      <c r="B29" s="425">
        <f t="shared" si="1"/>
        <v>32804.561249999999</v>
      </c>
      <c r="C29" s="280">
        <f t="shared" si="1"/>
        <v>260.69850000000002</v>
      </c>
      <c r="D29" s="425">
        <f t="shared" si="1"/>
        <v>11.586600000000001</v>
      </c>
      <c r="E29" s="425">
        <f t="shared" si="1"/>
        <v>4767.8859000000002</v>
      </c>
      <c r="F29" s="280">
        <f t="shared" si="1"/>
        <v>16947.333600000002</v>
      </c>
      <c r="G29" s="425">
        <f t="shared" si="1"/>
        <v>2463.11805</v>
      </c>
      <c r="H29" s="425">
        <f t="shared" si="1"/>
        <v>5797.1621999999998</v>
      </c>
      <c r="I29" s="425">
        <f t="shared" si="1"/>
        <v>1443.4972500000001</v>
      </c>
      <c r="J29" s="425">
        <f t="shared" si="3"/>
        <v>700.02375000000006</v>
      </c>
      <c r="K29" s="504"/>
      <c r="L29" s="504"/>
      <c r="M29" s="280">
        <f t="shared" si="2"/>
        <v>413.25540000000001</v>
      </c>
      <c r="N29" s="233"/>
      <c r="O29" s="7" t="s">
        <v>56</v>
      </c>
      <c r="P29" s="425">
        <f>(B29*1000)/SUM('Population Figures'!$AI31:$AK31)</f>
        <v>1412.1636353852778</v>
      </c>
      <c r="Q29" s="280">
        <f>(C29/SUM('Population Figures'!AI31:AK31))*1000</f>
        <v>11.222492466637968</v>
      </c>
      <c r="R29" s="425">
        <f>(D29/'Population Figures'!AI31)*1000</f>
        <v>2.3762510254306815</v>
      </c>
      <c r="S29" s="425">
        <f>(E29/'Population Figures'!AI31)*1000</f>
        <v>977.82729696472529</v>
      </c>
      <c r="T29" s="280">
        <f>(F29/'Population Figures'!AH31)*1000</f>
        <v>4130.4737021691453</v>
      </c>
      <c r="U29" s="425">
        <f>(G29/'Population Figures'!AJ31)*1000</f>
        <v>174.41708327432377</v>
      </c>
      <c r="V29" s="425">
        <f>(H29/'Population Figures'!AJ31)*1000</f>
        <v>410.50574989378276</v>
      </c>
      <c r="W29" s="425">
        <f>(I29/'Population Figures'!AJ31)*1000</f>
        <v>102.21620521172639</v>
      </c>
      <c r="X29" s="500">
        <f>(J29/'Population Figures'!AJ31)*1000</f>
        <v>49.569731624415809</v>
      </c>
      <c r="Y29" s="504"/>
      <c r="Z29" s="504"/>
      <c r="AA29" s="501">
        <f>(M29/'Population Figures'!AJ31)*1000</f>
        <v>29.263234669310297</v>
      </c>
    </row>
    <row r="30" spans="1:27">
      <c r="A30" s="7" t="s">
        <v>57</v>
      </c>
      <c r="B30" s="425">
        <f t="shared" si="1"/>
        <v>89330.7549</v>
      </c>
      <c r="C30" s="280">
        <f t="shared" si="1"/>
        <v>0</v>
      </c>
      <c r="D30" s="425">
        <f t="shared" si="1"/>
        <v>43.449750000000002</v>
      </c>
      <c r="E30" s="425">
        <f t="shared" si="1"/>
        <v>19152.649799999999</v>
      </c>
      <c r="F30" s="280">
        <f t="shared" si="1"/>
        <v>44305.227299999999</v>
      </c>
      <c r="G30" s="425">
        <f t="shared" si="1"/>
        <v>3600.53595</v>
      </c>
      <c r="H30" s="425">
        <f t="shared" si="1"/>
        <v>16371.8658</v>
      </c>
      <c r="I30" s="425">
        <f t="shared" si="1"/>
        <v>3469.2211499999999</v>
      </c>
      <c r="J30" s="425">
        <f t="shared" si="3"/>
        <v>857.40840000000003</v>
      </c>
      <c r="K30" s="504"/>
      <c r="L30" s="504"/>
      <c r="M30" s="280">
        <f t="shared" si="2"/>
        <v>1530.3967500000001</v>
      </c>
      <c r="O30" s="7" t="s">
        <v>57</v>
      </c>
      <c r="P30" s="425">
        <f>(B30*1000)/SUM('Population Figures'!$AI32:$AK32)</f>
        <v>793.98057861523421</v>
      </c>
      <c r="Q30" s="280">
        <f>(C30/SUM('Population Figures'!AI32:AK32))*1000</f>
        <v>0</v>
      </c>
      <c r="R30" s="425">
        <f>(D30/'Population Figures'!AI32)*1000</f>
        <v>2.1253057131676778</v>
      </c>
      <c r="S30" s="425">
        <f>(E30/'Population Figures'!AI32)*1000</f>
        <v>936.83475836431217</v>
      </c>
      <c r="T30" s="280">
        <f>(F30/'Population Figures'!AH32)*1000</f>
        <v>1715.660908457249</v>
      </c>
      <c r="U30" s="425">
        <f>(G30/'Population Figures'!AJ32)*1000</f>
        <v>54.811020703303399</v>
      </c>
      <c r="V30" s="425">
        <f>(H30/'Population Figures'!AJ32)*1000</f>
        <v>249.22919470239</v>
      </c>
      <c r="W30" s="425">
        <f>(I30/'Population Figures'!AJ32)*1000</f>
        <v>52.812013244024968</v>
      </c>
      <c r="X30" s="500">
        <f>(J30/'Population Figures'!AJ32)*1000</f>
        <v>13.05234282234739</v>
      </c>
      <c r="Y30" s="504"/>
      <c r="Z30" s="504"/>
      <c r="AA30" s="501">
        <f>(M30/'Population Figures'!AJ32)*1000</f>
        <v>23.29725605114934</v>
      </c>
    </row>
    <row r="31" spans="1:27">
      <c r="A31" s="7" t="s">
        <v>58</v>
      </c>
      <c r="B31" s="425">
        <f t="shared" si="1"/>
        <v>187591.88175</v>
      </c>
      <c r="C31" s="280">
        <f t="shared" si="1"/>
        <v>666.22950000000003</v>
      </c>
      <c r="D31" s="425">
        <f t="shared" si="1"/>
        <v>4.82775</v>
      </c>
      <c r="E31" s="425">
        <f t="shared" si="1"/>
        <v>30865.736850000001</v>
      </c>
      <c r="F31" s="280">
        <f t="shared" si="1"/>
        <v>96774.17985</v>
      </c>
      <c r="G31" s="425">
        <f t="shared" si="1"/>
        <v>10210.69125</v>
      </c>
      <c r="H31" s="425">
        <f t="shared" si="1"/>
        <v>35188.504200000003</v>
      </c>
      <c r="I31" s="425">
        <f t="shared" si="1"/>
        <v>6575.3955000000005</v>
      </c>
      <c r="J31" s="425">
        <f t="shared" si="3"/>
        <v>1581.5708999999999</v>
      </c>
      <c r="K31" s="504"/>
      <c r="L31" s="504"/>
      <c r="M31" s="280">
        <f t="shared" si="2"/>
        <v>5724.7459500000004</v>
      </c>
      <c r="O31" s="7" t="s">
        <v>58</v>
      </c>
      <c r="P31" s="425">
        <f>(B31*1000)/SUM('Population Figures'!$AI33:$AK33)</f>
        <v>594.84995481354645</v>
      </c>
      <c r="Q31" s="280">
        <f>(C31/SUM('Population Figures'!AI33:AK33))*1000</f>
        <v>2.112599885844749</v>
      </c>
      <c r="R31" s="425">
        <f>(D31/'Population Figures'!AI33)*1000</f>
        <v>7.7610320713768985E-2</v>
      </c>
      <c r="S31" s="425">
        <f>(E31/'Population Figures'!AI33)*1000</f>
        <v>496.19382445141071</v>
      </c>
      <c r="T31" s="280">
        <f>(F31/'Population Figures'!AH33)*1000</f>
        <v>1716.1889703665609</v>
      </c>
      <c r="U31" s="425">
        <f>(G31/'Population Figures'!AJ33)*1000</f>
        <v>52.216046525899145</v>
      </c>
      <c r="V31" s="425">
        <f>(H31/'Population Figures'!AJ33)*1000</f>
        <v>179.94908743166607</v>
      </c>
      <c r="W31" s="425">
        <f>(I31/'Population Figures'!AJ33)*1000</f>
        <v>33.625652656394635</v>
      </c>
      <c r="X31" s="500">
        <f>(J31/'Population Figures'!AJ33)*1000</f>
        <v>8.0879323129477818</v>
      </c>
      <c r="Y31" s="504"/>
      <c r="Z31" s="504"/>
      <c r="AA31" s="501">
        <f>(M31/'Population Figures'!AJ33)*1000</f>
        <v>29.275549867806721</v>
      </c>
    </row>
    <row r="32" spans="1:27">
      <c r="A32" s="7" t="s">
        <v>59</v>
      </c>
      <c r="B32" s="425">
        <f t="shared" si="1"/>
        <v>55204.3557</v>
      </c>
      <c r="C32" s="280">
        <f t="shared" si="1"/>
        <v>1265.8360500000001</v>
      </c>
      <c r="D32" s="425">
        <f t="shared" si="1"/>
        <v>20.27655</v>
      </c>
      <c r="E32" s="425">
        <f t="shared" si="1"/>
        <v>10893.3351</v>
      </c>
      <c r="F32" s="280">
        <f t="shared" si="1"/>
        <v>24789.530699999999</v>
      </c>
      <c r="G32" s="425">
        <f t="shared" si="1"/>
        <v>2771.1285000000003</v>
      </c>
      <c r="H32" s="425">
        <f t="shared" si="1"/>
        <v>10248.3477</v>
      </c>
      <c r="I32" s="425">
        <f t="shared" si="1"/>
        <v>2551.9486500000003</v>
      </c>
      <c r="J32" s="425">
        <f t="shared" si="3"/>
        <v>543.60464999999999</v>
      </c>
      <c r="K32" s="504"/>
      <c r="L32" s="504"/>
      <c r="M32" s="280">
        <f t="shared" si="2"/>
        <v>2120.3478</v>
      </c>
      <c r="O32" s="7" t="s">
        <v>59</v>
      </c>
      <c r="P32" s="425">
        <f>(B32*1000)/SUM('Population Figures'!$AI34:$AK34)</f>
        <v>602.79925420397467</v>
      </c>
      <c r="Q32" s="280">
        <f>(C32/SUM('Population Figures'!AI34:AK34))*1000</f>
        <v>13.822188796680498</v>
      </c>
      <c r="R32" s="425">
        <f>(D32/'Population Figures'!AI34)*1000</f>
        <v>1.1242888827280288</v>
      </c>
      <c r="S32" s="425">
        <f>(E32/'Population Figures'!AI34)*1000</f>
        <v>604.01081785417239</v>
      </c>
      <c r="T32" s="280">
        <f>(F32/'Population Figures'!AH34)*1000</f>
        <v>1494.966270654927</v>
      </c>
      <c r="U32" s="425">
        <f>(G32/'Population Figures'!AJ34)*1000</f>
        <v>48.900254107183827</v>
      </c>
      <c r="V32" s="425">
        <f>(H32/'Population Figures'!AJ34)*1000</f>
        <v>180.84574811625404</v>
      </c>
      <c r="W32" s="425">
        <f>(I32/'Population Figures'!AJ34)*1000</f>
        <v>45.032533660378697</v>
      </c>
      <c r="X32" s="500">
        <f>(J32/'Population Figures'!AJ34)*1000</f>
        <v>9.5926282447193358</v>
      </c>
      <c r="Y32" s="504"/>
      <c r="Z32" s="504"/>
      <c r="AA32" s="501">
        <f>(M32/'Population Figures'!AJ34)*1000</f>
        <v>37.41636167922497</v>
      </c>
    </row>
    <row r="33" spans="1:27">
      <c r="A33" s="7" t="s">
        <v>60</v>
      </c>
      <c r="B33" s="425">
        <f t="shared" si="1"/>
        <v>76676.256600000008</v>
      </c>
      <c r="C33" s="280">
        <f t="shared" si="1"/>
        <v>1053.4150500000001</v>
      </c>
      <c r="D33" s="425">
        <f t="shared" si="1"/>
        <v>13.5177</v>
      </c>
      <c r="E33" s="425">
        <f t="shared" si="1"/>
        <v>16902.918300000001</v>
      </c>
      <c r="F33" s="280">
        <f t="shared" si="1"/>
        <v>35453.064899999998</v>
      </c>
      <c r="G33" s="425">
        <f t="shared" si="1"/>
        <v>4864.4409000000005</v>
      </c>
      <c r="H33" s="425">
        <f t="shared" si="1"/>
        <v>12094.479300000001</v>
      </c>
      <c r="I33" s="425">
        <f t="shared" si="1"/>
        <v>2743.1275500000002</v>
      </c>
      <c r="J33" s="425">
        <f t="shared" si="3"/>
        <v>1608.6062999999999</v>
      </c>
      <c r="K33" s="504"/>
      <c r="L33" s="504"/>
      <c r="M33" s="280">
        <f t="shared" si="2"/>
        <v>1942.6866</v>
      </c>
      <c r="O33" s="7" t="s">
        <v>60</v>
      </c>
      <c r="P33" s="425">
        <f>(B33*1000)/SUM('Population Figures'!$AI35:$AK35)</f>
        <v>854.52197258442004</v>
      </c>
      <c r="Q33" s="280">
        <f>(C33/SUM('Population Figures'!AI35:AK35))*1000</f>
        <v>11.739831160147109</v>
      </c>
      <c r="R33" s="425">
        <f>(D33/'Population Figures'!AI35)*1000</f>
        <v>0.76100320891741258</v>
      </c>
      <c r="S33" s="425">
        <f>(E33/'Population Figures'!AI35)*1000</f>
        <v>951.58015537915901</v>
      </c>
      <c r="T33" s="280">
        <f>(F33/'Population Figures'!AH35)*1000</f>
        <v>2284.9358662026298</v>
      </c>
      <c r="U33" s="425">
        <f>(G33/'Population Figures'!AJ35)*1000</f>
        <v>86.515862768114403</v>
      </c>
      <c r="V33" s="425">
        <f>(H33/'Population Figures'!AJ35)*1000</f>
        <v>215.10474335716572</v>
      </c>
      <c r="W33" s="425">
        <f>(I33/'Population Figures'!AJ35)*1000</f>
        <v>48.787528011951771</v>
      </c>
      <c r="X33" s="500">
        <f>(J33/'Population Figures'!AJ35)*1000</f>
        <v>28.609652118237115</v>
      </c>
      <c r="Y33" s="504"/>
      <c r="Z33" s="504"/>
      <c r="AA33" s="501">
        <f>(M33/'Population Figures'!AJ35)*1000</f>
        <v>34.551392594173514</v>
      </c>
    </row>
    <row r="34" spans="1:27">
      <c r="A34" s="7" t="s">
        <v>61</v>
      </c>
      <c r="B34" s="425">
        <f t="shared" si="1"/>
        <v>93055.846799999999</v>
      </c>
      <c r="C34" s="280">
        <f t="shared" si="1"/>
        <v>2746.9897500000002</v>
      </c>
      <c r="D34" s="425">
        <f t="shared" si="1"/>
        <v>40.553100000000001</v>
      </c>
      <c r="E34" s="425">
        <f t="shared" si="1"/>
        <v>22864.224000000002</v>
      </c>
      <c r="F34" s="280">
        <f t="shared" si="1"/>
        <v>37899.768600000003</v>
      </c>
      <c r="G34" s="425">
        <f t="shared" si="1"/>
        <v>6064.6195500000003</v>
      </c>
      <c r="H34" s="425">
        <f t="shared" si="1"/>
        <v>15671.842050000001</v>
      </c>
      <c r="I34" s="425">
        <f t="shared" si="1"/>
        <v>4060.1377499999999</v>
      </c>
      <c r="J34" s="425">
        <f t="shared" si="3"/>
        <v>590.91660000000002</v>
      </c>
      <c r="K34" s="504"/>
      <c r="L34" s="504"/>
      <c r="M34" s="280">
        <f t="shared" si="2"/>
        <v>3116.7954</v>
      </c>
      <c r="O34" s="7" t="s">
        <v>61</v>
      </c>
      <c r="P34" s="425">
        <f>(B34*1000)/SUM('Population Figures'!$AI36:$AK36)</f>
        <v>525.29408298052499</v>
      </c>
      <c r="Q34" s="280">
        <f>(C34/SUM('Population Figures'!AI36:AK36))*1000</f>
        <v>15.506574936494497</v>
      </c>
      <c r="R34" s="425">
        <f>(D34/'Population Figures'!AI36)*1000</f>
        <v>1.0266347687400319</v>
      </c>
      <c r="S34" s="425">
        <f>(E34/'Population Figures'!AI36)*1000</f>
        <v>578.82646008961797</v>
      </c>
      <c r="T34" s="280">
        <f>(F34/'Population Figures'!AH36)*1000</f>
        <v>1445.0668623937165</v>
      </c>
      <c r="U34" s="425">
        <f>(G34/'Population Figures'!AJ36)*1000</f>
        <v>54.873999493299799</v>
      </c>
      <c r="V34" s="425">
        <f>(H34/'Population Figures'!AJ36)*1000</f>
        <v>141.80224260081977</v>
      </c>
      <c r="W34" s="425">
        <f>(I34/'Population Figures'!AJ36)*1000</f>
        <v>36.737011283127785</v>
      </c>
      <c r="X34" s="500">
        <f>(J34/'Population Figures'!AJ36)*1000</f>
        <v>5.3467421891258518</v>
      </c>
      <c r="Y34" s="504"/>
      <c r="Z34" s="504"/>
      <c r="AA34" s="501">
        <f>(M34/'Population Figures'!AJ36)*1000</f>
        <v>28.201444095585376</v>
      </c>
    </row>
    <row r="35" spans="1:27" s="1" customFormat="1">
      <c r="A35" s="52" t="s">
        <v>5</v>
      </c>
      <c r="B35" s="53">
        <f t="shared" ref="B35:J35" si="4">B77*$M$39</f>
        <v>3808461.3492000001</v>
      </c>
      <c r="C35" s="52">
        <f t="shared" si="4"/>
        <v>35174.020949999998</v>
      </c>
      <c r="D35" s="53">
        <f t="shared" si="4"/>
        <v>1109.41695</v>
      </c>
      <c r="E35" s="53">
        <f t="shared" si="4"/>
        <v>853580.95980000007</v>
      </c>
      <c r="F35" s="52">
        <f t="shared" si="4"/>
        <v>1694246.7228000001</v>
      </c>
      <c r="G35" s="53">
        <f t="shared" si="4"/>
        <v>221124.46770000001</v>
      </c>
      <c r="H35" s="53">
        <f t="shared" si="4"/>
        <v>673287.67050000001</v>
      </c>
      <c r="I35" s="53">
        <f t="shared" si="4"/>
        <v>154143.29865000001</v>
      </c>
      <c r="J35" s="53">
        <f t="shared" si="4"/>
        <v>68826.335099999997</v>
      </c>
      <c r="K35" s="505"/>
      <c r="L35" s="505"/>
      <c r="M35" s="52">
        <f>M77*$M$39</f>
        <v>106968.45675</v>
      </c>
      <c r="O35" s="52" t="s">
        <v>5</v>
      </c>
      <c r="P35" s="425">
        <f>(B35*1000)/SUM('Population Figures'!$AI37:$AK37)</f>
        <v>712.18141768269879</v>
      </c>
      <c r="Q35" s="280">
        <f>(C35/SUM('Population Figures'!AI37:AK37))*1000</f>
        <v>6.5775340246091698</v>
      </c>
      <c r="R35" s="425">
        <f>(D35/'Population Figures'!AI37)*1000</f>
        <v>1.0737855249263684</v>
      </c>
      <c r="S35" s="425">
        <f>(E35/'Population Figures'!AI37)*1000</f>
        <v>826.16628399809144</v>
      </c>
      <c r="T35" s="280">
        <f>(F35/'Population Figures'!AH37)*1000</f>
        <v>1789.3280359756757</v>
      </c>
      <c r="U35" s="425">
        <f>(G35/'Population Figures'!AJ37)*1000</f>
        <v>66.085659683660751</v>
      </c>
      <c r="V35" s="425">
        <f>(H35/'Population Figures'!AJ37)*1000</f>
        <v>201.21997499722059</v>
      </c>
      <c r="W35" s="425">
        <f>(I35/'Population Figures'!AJ37)*1000</f>
        <v>46.067545952992624</v>
      </c>
      <c r="X35" s="500">
        <f>(J35/'Population Figures'!AJ37)*1000</f>
        <v>20.569563404729426</v>
      </c>
      <c r="Y35" s="505"/>
      <c r="Z35" s="505"/>
      <c r="AA35" s="501">
        <f>(M35/'Population Figures'!AJ37)*1000</f>
        <v>31.968787096222744</v>
      </c>
    </row>
    <row r="36" spans="1:27">
      <c r="A36" s="502" t="s">
        <v>93</v>
      </c>
    </row>
    <row r="37" spans="1:27" ht="13.5" thickBot="1">
      <c r="A37" s="503" t="s">
        <v>349</v>
      </c>
      <c r="B37" s="11"/>
      <c r="N37" s="233"/>
      <c r="S37" s="11"/>
      <c r="V37" s="11"/>
      <c r="W37" s="11"/>
      <c r="X37" s="149"/>
    </row>
    <row r="38" spans="1:27">
      <c r="A38" s="557"/>
      <c r="B38" s="558" t="s">
        <v>2</v>
      </c>
      <c r="C38" s="558" t="s">
        <v>3</v>
      </c>
      <c r="D38" s="558" t="s">
        <v>4</v>
      </c>
      <c r="E38" s="558" t="s">
        <v>0</v>
      </c>
      <c r="F38" s="558" t="s">
        <v>1</v>
      </c>
      <c r="G38" s="558" t="s">
        <v>28</v>
      </c>
      <c r="H38" s="558" t="s">
        <v>65</v>
      </c>
      <c r="I38" s="558" t="s">
        <v>267</v>
      </c>
      <c r="J38" s="558" t="s">
        <v>315</v>
      </c>
      <c r="K38" s="559" t="s">
        <v>322</v>
      </c>
      <c r="L38" s="559" t="s">
        <v>369</v>
      </c>
      <c r="M38" s="559" t="s">
        <v>382</v>
      </c>
      <c r="N38" s="233"/>
      <c r="S38" s="11"/>
      <c r="V38" s="11"/>
      <c r="W38" s="11"/>
      <c r="X38" s="149"/>
    </row>
    <row r="39" spans="1:27"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0">
        <f>Deflators!$K$2/Deflators!G2</f>
        <v>1.0903639628245232</v>
      </c>
      <c r="H39" s="560">
        <f>Deflators!$K$2/Deflators!H2</f>
        <v>1.0651759021258289</v>
      </c>
      <c r="I39" s="560">
        <f>Deflators!$K$2/Deflators!I2</f>
        <v>1.0341337503213095</v>
      </c>
      <c r="J39" s="560">
        <f>Deflators!$K$2/Deflators!J2</f>
        <v>1.0183193064607987</v>
      </c>
      <c r="K39" s="562">
        <f>Deflators!$K$2/Deflators!K2</f>
        <v>1</v>
      </c>
      <c r="L39" s="562">
        <f>Deflators!$K$2/Deflators!L2</f>
        <v>0.97936889511000225</v>
      </c>
      <c r="M39" s="562">
        <f>Deflators!$K$2/Deflators!M2</f>
        <v>0.96555000000000002</v>
      </c>
      <c r="N39" s="233"/>
      <c r="S39" s="11"/>
      <c r="V39" s="11"/>
      <c r="W39" s="11"/>
      <c r="X39" s="149"/>
    </row>
    <row r="40" spans="1:27">
      <c r="N40" s="233"/>
      <c r="S40" s="11"/>
      <c r="V40" s="11"/>
      <c r="W40" s="11"/>
      <c r="X40" s="149"/>
    </row>
    <row r="41" spans="1:27">
      <c r="A41" t="s">
        <v>350</v>
      </c>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76.5">
      <c r="A44" s="21" t="s">
        <v>26</v>
      </c>
      <c r="B44" s="10" t="s">
        <v>9</v>
      </c>
      <c r="C44" s="9" t="s">
        <v>10</v>
      </c>
      <c r="D44" s="10" t="s">
        <v>11</v>
      </c>
      <c r="E44" s="10" t="s">
        <v>12</v>
      </c>
      <c r="F44" s="9" t="s">
        <v>14</v>
      </c>
      <c r="G44" s="10" t="s">
        <v>15</v>
      </c>
      <c r="H44" s="10" t="s">
        <v>16</v>
      </c>
      <c r="I44" s="10" t="s">
        <v>17</v>
      </c>
      <c r="J44" s="10" t="s">
        <v>351</v>
      </c>
      <c r="K44" s="9" t="s">
        <v>19</v>
      </c>
      <c r="L44" s="9" t="s">
        <v>20</v>
      </c>
      <c r="M44" s="9" t="s">
        <v>21</v>
      </c>
      <c r="O44" s="21" t="s">
        <v>26</v>
      </c>
      <c r="P44" s="10" t="s">
        <v>9</v>
      </c>
      <c r="Q44" s="9" t="s">
        <v>10</v>
      </c>
      <c r="R44" s="10" t="s">
        <v>11</v>
      </c>
      <c r="S44" s="10" t="s">
        <v>12</v>
      </c>
      <c r="T44" s="9" t="s">
        <v>14</v>
      </c>
      <c r="U44" s="10" t="s">
        <v>15</v>
      </c>
      <c r="V44" s="10" t="s">
        <v>16</v>
      </c>
      <c r="W44" s="10" t="s">
        <v>17</v>
      </c>
      <c r="X44" s="10" t="s">
        <v>351</v>
      </c>
      <c r="Y44" s="9" t="s">
        <v>19</v>
      </c>
      <c r="Z44" s="9" t="s">
        <v>20</v>
      </c>
      <c r="AA44" s="9" t="s">
        <v>21</v>
      </c>
    </row>
    <row r="45" spans="1:27">
      <c r="A45" s="7" t="s">
        <v>31</v>
      </c>
      <c r="B45" s="425">
        <v>170099</v>
      </c>
      <c r="C45" s="280">
        <v>935</v>
      </c>
      <c r="D45" s="425">
        <v>51</v>
      </c>
      <c r="E45" s="425">
        <v>38676</v>
      </c>
      <c r="F45" s="280">
        <v>70145</v>
      </c>
      <c r="G45" s="425">
        <v>12311</v>
      </c>
      <c r="H45" s="425">
        <v>31506</v>
      </c>
      <c r="I45" s="425">
        <v>8894</v>
      </c>
      <c r="J45" s="425">
        <v>2654</v>
      </c>
      <c r="K45" s="504"/>
      <c r="L45" s="504"/>
      <c r="M45" s="280">
        <v>4927</v>
      </c>
      <c r="N45" s="233"/>
      <c r="O45" s="7" t="s">
        <v>31</v>
      </c>
      <c r="P45" s="425">
        <f>(B45*1000)/SUM('Population Figures'!$AI5:$AK5)</f>
        <v>742.82283069129653</v>
      </c>
      <c r="Q45" s="280">
        <f>(C45/SUM('Population Figures'!AI5:AK5))*1000</f>
        <v>4.0831477357089829</v>
      </c>
      <c r="R45" s="425">
        <f>(D45/'Population Figures'!AI5)*1000</f>
        <v>1.3567438148443736</v>
      </c>
      <c r="S45" s="425">
        <f>(E45/'Population Figures'!AI5)*1000</f>
        <v>1028.8906624102153</v>
      </c>
      <c r="T45" s="280">
        <f>(F45/'Population Figures'!AH5)*1000</f>
        <v>2080.6513807729953</v>
      </c>
      <c r="U45" s="425">
        <f>(G45/'Population Figures'!AJ5)*1000</f>
        <v>78.34465027777955</v>
      </c>
      <c r="V45" s="425">
        <f>(H45/'Population Figures'!AJ5)*1000</f>
        <v>200.49764857864693</v>
      </c>
      <c r="W45" s="425">
        <f>(I45/'Population Figures'!AJ5)*1000</f>
        <v>56.599571080381061</v>
      </c>
      <c r="X45" s="500">
        <f>(J45/'Population Figures'!AJ5)*1000</f>
        <v>16.889505469679712</v>
      </c>
      <c r="Y45" s="504"/>
      <c r="Z45" s="504"/>
      <c r="AA45" s="501">
        <f>(M45/'Population Figures'!AJ5)*1000</f>
        <v>31.354405971782942</v>
      </c>
    </row>
    <row r="46" spans="1:27">
      <c r="A46" s="7" t="s">
        <v>32</v>
      </c>
      <c r="B46" s="425">
        <v>156481</v>
      </c>
      <c r="C46" s="280">
        <v>1388</v>
      </c>
      <c r="D46" s="425">
        <v>14</v>
      </c>
      <c r="E46" s="425">
        <v>25745</v>
      </c>
      <c r="F46" s="280">
        <v>77166</v>
      </c>
      <c r="G46" s="425">
        <v>742</v>
      </c>
      <c r="H46" s="425">
        <v>41331</v>
      </c>
      <c r="I46" s="425">
        <v>5066</v>
      </c>
      <c r="J46" s="425">
        <v>2100</v>
      </c>
      <c r="K46" s="504"/>
      <c r="L46" s="504"/>
      <c r="M46" s="280">
        <v>2929</v>
      </c>
      <c r="N46" s="233"/>
      <c r="O46" s="7" t="s">
        <v>32</v>
      </c>
      <c r="P46" s="425">
        <f>(B46*1000)/SUM('Population Figures'!$AI6:$AK6)</f>
        <v>600.69481765834928</v>
      </c>
      <c r="Q46" s="280">
        <f>(C46/SUM('Population Figures'!AI6:AK6))*1000</f>
        <v>5.3282149712092135</v>
      </c>
      <c r="R46" s="425">
        <f>(D46/'Population Figures'!AI6)*1000</f>
        <v>0.25571710382114415</v>
      </c>
      <c r="S46" s="425">
        <f>(E46/'Population Figures'!AI6)*1000</f>
        <v>470.24548841966828</v>
      </c>
      <c r="T46" s="280">
        <f>(F46/'Population Figures'!AH6)*1000</f>
        <v>1738.7561964849033</v>
      </c>
      <c r="U46" s="425">
        <f>(G46/'Population Figures'!AJ6)*1000</f>
        <v>4.6385436723262741</v>
      </c>
      <c r="V46" s="425">
        <f>(H46/'Population Figures'!AJ6)*1000</f>
        <v>258.37688479907979</v>
      </c>
      <c r="W46" s="425">
        <f>(I46/'Population Figures'!AJ6)*1000</f>
        <v>31.669625665774795</v>
      </c>
      <c r="X46" s="500">
        <f>(J46/'Population Figures'!AJ6)*1000</f>
        <v>13.12795378960266</v>
      </c>
      <c r="Y46" s="504"/>
      <c r="Z46" s="504"/>
      <c r="AA46" s="501">
        <f>(M46/'Population Figures'!AJ6)*1000</f>
        <v>18.310369833212473</v>
      </c>
    </row>
    <row r="47" spans="1:27">
      <c r="A47" s="7" t="s">
        <v>33</v>
      </c>
      <c r="B47" s="425">
        <v>75060</v>
      </c>
      <c r="C47" s="280">
        <v>285</v>
      </c>
      <c r="D47" s="425">
        <v>58</v>
      </c>
      <c r="E47" s="425">
        <v>14041</v>
      </c>
      <c r="F47" s="280">
        <v>40829</v>
      </c>
      <c r="G47" s="425">
        <v>3259</v>
      </c>
      <c r="H47" s="425">
        <v>11604</v>
      </c>
      <c r="I47" s="425">
        <v>2179</v>
      </c>
      <c r="J47" s="425">
        <v>996</v>
      </c>
      <c r="K47" s="504"/>
      <c r="L47" s="504"/>
      <c r="M47" s="280">
        <v>1809</v>
      </c>
      <c r="N47" s="233"/>
      <c r="O47" s="7" t="s">
        <v>33</v>
      </c>
      <c r="P47" s="425">
        <f>(B47*1000)/SUM('Population Figures'!$AI7:$AK7)</f>
        <v>643.40819475398598</v>
      </c>
      <c r="Q47" s="280">
        <f>(C47/SUM('Population Figures'!AI7:AK7))*1000</f>
        <v>2.4429967426710095</v>
      </c>
      <c r="R47" s="425">
        <f>(D47/'Population Figures'!AI7)*1000</f>
        <v>2.5765181466838434</v>
      </c>
      <c r="S47" s="425">
        <f>(E47/'Population Figures'!AI7)*1000</f>
        <v>623.73950513082491</v>
      </c>
      <c r="T47" s="280">
        <f>(F47/'Population Figures'!AH7)*1000</f>
        <v>1635.7772435897434</v>
      </c>
      <c r="U47" s="425">
        <f>(G47/'Population Figures'!AJ7)*1000</f>
        <v>47.565532138478602</v>
      </c>
      <c r="V47" s="425">
        <f>(H47/'Population Figures'!AJ7)*1000</f>
        <v>169.36190086986983</v>
      </c>
      <c r="W47" s="425">
        <f>(I47/'Population Figures'!AJ7)*1000</f>
        <v>31.802790589059494</v>
      </c>
      <c r="X47" s="500">
        <f>(J47/'Population Figures'!AJ7)*1000</f>
        <v>14.536750540019849</v>
      </c>
      <c r="Y47" s="504"/>
      <c r="Z47" s="504"/>
      <c r="AA47" s="501">
        <f>(M47/'Population Figures'!AJ7)*1000</f>
        <v>26.402592095277015</v>
      </c>
    </row>
    <row r="48" spans="1:27">
      <c r="A48" s="7" t="s">
        <v>34</v>
      </c>
      <c r="B48" s="425">
        <v>68177</v>
      </c>
      <c r="C48" s="280">
        <v>813</v>
      </c>
      <c r="D48" s="425">
        <v>13</v>
      </c>
      <c r="E48" s="425">
        <v>11569</v>
      </c>
      <c r="F48" s="280">
        <v>36102</v>
      </c>
      <c r="G48" s="425">
        <v>1876</v>
      </c>
      <c r="H48" s="425">
        <v>14266</v>
      </c>
      <c r="I48" s="425">
        <v>2738</v>
      </c>
      <c r="J48" s="425">
        <v>668</v>
      </c>
      <c r="K48" s="504"/>
      <c r="L48" s="504"/>
      <c r="M48" s="280">
        <v>132</v>
      </c>
      <c r="N48" s="233"/>
      <c r="O48" s="7" t="s">
        <v>34</v>
      </c>
      <c r="P48" s="425">
        <f>(B48*1000)/SUM('Population Figures'!$AI8:$AK8)</f>
        <v>777.74355464293865</v>
      </c>
      <c r="Q48" s="280">
        <f>(C48/SUM('Population Figures'!AI8:AK8))*1000</f>
        <v>9.274469541409994</v>
      </c>
      <c r="R48" s="425">
        <f>(D48/'Population Figures'!AI8)*1000</f>
        <v>0.83199999999999996</v>
      </c>
      <c r="S48" s="425">
        <f>(E48/'Population Figures'!AI8)*1000</f>
        <v>740.41599999999994</v>
      </c>
      <c r="T48" s="280">
        <f>(F48/'Population Figures'!AH8)*1000</f>
        <v>1750.8244422890398</v>
      </c>
      <c r="U48" s="425">
        <f>(G48/'Population Figures'!AJ8)*1000</f>
        <v>36.839934803526894</v>
      </c>
      <c r="V48" s="425">
        <f>(H48/'Population Figures'!AJ8)*1000</f>
        <v>280.14845943876048</v>
      </c>
      <c r="W48" s="425">
        <f>(I48/'Population Figures'!AJ8)*1000</f>
        <v>53.767452820925712</v>
      </c>
      <c r="X48" s="500">
        <f>(J48/'Population Figures'!AJ8)*1000</f>
        <v>13.117844588889108</v>
      </c>
      <c r="Y48" s="504"/>
      <c r="Z48" s="504"/>
      <c r="AA48" s="501">
        <f>(M48/'Population Figures'!AJ8)*1000</f>
        <v>2.5921489307385661</v>
      </c>
    </row>
    <row r="49" spans="1:27">
      <c r="A49" s="7" t="s">
        <v>35</v>
      </c>
      <c r="B49" s="425">
        <v>41727</v>
      </c>
      <c r="C49" s="280">
        <v>1011</v>
      </c>
      <c r="D49" s="425">
        <v>73</v>
      </c>
      <c r="E49" s="425">
        <v>11595</v>
      </c>
      <c r="F49" s="280">
        <v>16530</v>
      </c>
      <c r="G49" s="425">
        <v>3631</v>
      </c>
      <c r="H49" s="425">
        <v>4431</v>
      </c>
      <c r="I49" s="425">
        <v>2086</v>
      </c>
      <c r="J49" s="425">
        <v>585</v>
      </c>
      <c r="K49" s="504"/>
      <c r="L49" s="504"/>
      <c r="M49" s="280">
        <v>1785</v>
      </c>
      <c r="N49" s="233"/>
      <c r="O49" s="7" t="s">
        <v>35</v>
      </c>
      <c r="P49" s="425">
        <f>(B49*1000)/SUM('Population Figures'!$AI9:$AK9)</f>
        <v>815.13967571791363</v>
      </c>
      <c r="Q49" s="280">
        <f>(C49/SUM('Population Figures'!AI9:AK9))*1000</f>
        <v>19.749951162336391</v>
      </c>
      <c r="R49" s="425">
        <f>(D49/'Population Figures'!AI9)*1000</f>
        <v>7.0846273291925472</v>
      </c>
      <c r="S49" s="425">
        <f>(E49/'Population Figures'!AI9)*1000</f>
        <v>1125.291149068323</v>
      </c>
      <c r="T49" s="280">
        <f>(F49/'Population Figures'!AH9)*1000</f>
        <v>1832.7974276527329</v>
      </c>
      <c r="U49" s="425">
        <f>(G49/'Population Figures'!AJ9)*1000</f>
        <v>115.061634502646</v>
      </c>
      <c r="V49" s="425">
        <f>(H49/'Population Figures'!AJ9)*1000</f>
        <v>140.41258674778973</v>
      </c>
      <c r="W49" s="425">
        <f>(I49/'Population Figures'!AJ9)*1000</f>
        <v>66.102607979212223</v>
      </c>
      <c r="X49" s="500">
        <f>(J49/'Population Figures'!AJ9)*1000</f>
        <v>18.537883829261339</v>
      </c>
      <c r="Y49" s="504"/>
      <c r="Z49" s="504"/>
      <c r="AA49" s="501">
        <f>(M49/'Population Figures'!AJ9)*1000</f>
        <v>56.5643121969769</v>
      </c>
    </row>
    <row r="50" spans="1:27">
      <c r="A50" s="7" t="s">
        <v>36</v>
      </c>
      <c r="B50" s="425">
        <v>118443</v>
      </c>
      <c r="C50" s="280">
        <v>3339</v>
      </c>
      <c r="D50" s="425">
        <v>10</v>
      </c>
      <c r="E50" s="425">
        <v>21499</v>
      </c>
      <c r="F50" s="280">
        <v>55081</v>
      </c>
      <c r="G50" s="425">
        <v>6972</v>
      </c>
      <c r="H50" s="425">
        <v>23357</v>
      </c>
      <c r="I50" s="425">
        <v>5012</v>
      </c>
      <c r="J50" s="425">
        <v>291</v>
      </c>
      <c r="K50" s="504"/>
      <c r="L50" s="504"/>
      <c r="M50" s="280">
        <v>2882</v>
      </c>
      <c r="N50" s="233"/>
      <c r="O50" s="7" t="s">
        <v>36</v>
      </c>
      <c r="P50" s="425">
        <f>(B50*1000)/SUM('Population Figures'!$AI10:$AK10)</f>
        <v>789.93597438975587</v>
      </c>
      <c r="Q50" s="280">
        <f>(C50/SUM('Population Figures'!AI10:AK10))*1000</f>
        <v>22.268907563025209</v>
      </c>
      <c r="R50" s="425">
        <f>(D50/'Population Figures'!AI10)*1000</f>
        <v>0.36583135174684472</v>
      </c>
      <c r="S50" s="425">
        <f>(E50/'Population Figures'!AI10)*1000</f>
        <v>786.50082312054144</v>
      </c>
      <c r="T50" s="280">
        <f>(F50/'Population Figures'!AH10)*1000</f>
        <v>1572.3950899229233</v>
      </c>
      <c r="U50" s="425">
        <f>(G50/'Population Figures'!AJ10)*1000</f>
        <v>80.28558268079226</v>
      </c>
      <c r="V50" s="425">
        <f>(H50/'Population Figures'!AJ10)*1000</f>
        <v>268.9659143251958</v>
      </c>
      <c r="W50" s="425">
        <f>(I50/'Population Figures'!AJ10)*1000</f>
        <v>57.715338553661908</v>
      </c>
      <c r="X50" s="500">
        <f>(J50/'Population Figures'!AJ10)*1000</f>
        <v>3.3509903270382315</v>
      </c>
      <c r="Y50" s="504"/>
      <c r="Z50" s="504"/>
      <c r="AA50" s="501">
        <f>(M50/'Population Figures'!AJ10)*1000</f>
        <v>33.187471211423308</v>
      </c>
    </row>
    <row r="51" spans="1:27">
      <c r="A51" s="7" t="s">
        <v>37</v>
      </c>
      <c r="B51" s="425">
        <v>127497</v>
      </c>
      <c r="C51" s="280">
        <v>812</v>
      </c>
      <c r="D51" s="425">
        <v>76</v>
      </c>
      <c r="E51" s="425">
        <v>30500</v>
      </c>
      <c r="F51" s="280">
        <v>53046</v>
      </c>
      <c r="G51" s="425">
        <v>9078</v>
      </c>
      <c r="H51" s="425">
        <v>22396</v>
      </c>
      <c r="I51" s="425">
        <v>4731</v>
      </c>
      <c r="J51" s="425">
        <v>2071</v>
      </c>
      <c r="K51" s="504"/>
      <c r="L51" s="504"/>
      <c r="M51" s="280">
        <v>4787</v>
      </c>
      <c r="N51" s="233"/>
      <c r="O51" s="7" t="s">
        <v>37</v>
      </c>
      <c r="P51" s="425">
        <f>(B51*1000)/SUM('Population Figures'!$AI11:$AK11)</f>
        <v>859.95548360987459</v>
      </c>
      <c r="Q51" s="280">
        <f>(C51/SUM('Population Figures'!AI11:AK11))*1000</f>
        <v>5.476864966949953</v>
      </c>
      <c r="R51" s="425">
        <f>(D51/'Population Figures'!AI11)*1000</f>
        <v>2.7993664591697667</v>
      </c>
      <c r="S51" s="425">
        <f>(E51/'Population Figures'!AI11)*1000</f>
        <v>1123.4299605878671</v>
      </c>
      <c r="T51" s="280">
        <f>(F51/'Population Figures'!AH11)*1000</f>
        <v>2084.8956490979836</v>
      </c>
      <c r="U51" s="425">
        <f>(G51/'Population Figures'!AJ11)*1000</f>
        <v>95.242092010701356</v>
      </c>
      <c r="V51" s="425">
        <f>(H51/'Population Figures'!AJ11)*1000</f>
        <v>234.96826312752452</v>
      </c>
      <c r="W51" s="425">
        <f>(I51/'Population Figures'!AJ11)*1000</f>
        <v>49.635419398835438</v>
      </c>
      <c r="X51" s="500">
        <f>(J51/'Population Figures'!AJ11)*1000</f>
        <v>21.727954676598646</v>
      </c>
      <c r="Y51" s="504"/>
      <c r="Z51" s="504"/>
      <c r="AA51" s="501">
        <f>(M51/'Population Figures'!AJ11)*1000</f>
        <v>50.222944971935163</v>
      </c>
    </row>
    <row r="52" spans="1:27">
      <c r="A52" s="7" t="s">
        <v>38</v>
      </c>
      <c r="B52" s="425">
        <v>92980</v>
      </c>
      <c r="C52" s="280">
        <v>1543</v>
      </c>
      <c r="D52" s="425">
        <v>30</v>
      </c>
      <c r="E52" s="425">
        <v>23736</v>
      </c>
      <c r="F52" s="280">
        <v>40777</v>
      </c>
      <c r="G52" s="425">
        <v>4837</v>
      </c>
      <c r="H52" s="425">
        <v>15682</v>
      </c>
      <c r="I52" s="425">
        <v>3369</v>
      </c>
      <c r="J52" s="425">
        <v>743</v>
      </c>
      <c r="K52" s="504"/>
      <c r="L52" s="504"/>
      <c r="M52" s="280">
        <v>2263</v>
      </c>
      <c r="N52" s="233"/>
      <c r="O52" s="7" t="s">
        <v>38</v>
      </c>
      <c r="P52" s="425">
        <f>(B52*1000)/SUM('Population Figures'!$AI12:$AK12)</f>
        <v>761.1952517396644</v>
      </c>
      <c r="Q52" s="280">
        <f>(C52/SUM('Population Figures'!AI12:AK12))*1000</f>
        <v>12.6320098239869</v>
      </c>
      <c r="R52" s="425">
        <f>(D52/'Population Figures'!AI12)*1000</f>
        <v>1.2453300124533002</v>
      </c>
      <c r="S52" s="425">
        <f>(E52/'Population Figures'!AI12)*1000</f>
        <v>985.30510585305115</v>
      </c>
      <c r="T52" s="280">
        <f>(F52/'Population Figures'!AH12)*1000</f>
        <v>1788.7002675790675</v>
      </c>
      <c r="U52" s="425">
        <f>(G52/'Population Figures'!AJ12)*1000</f>
        <v>64.61826197314808</v>
      </c>
      <c r="V52" s="425">
        <f>(H52/'Population Figures'!AJ12)*1000</f>
        <v>209.49836350277204</v>
      </c>
      <c r="W52" s="425">
        <f>(I52/'Population Figures'!AJ12)*1000</f>
        <v>45.007013559548462</v>
      </c>
      <c r="X52" s="500">
        <f>(J52/'Population Figures'!AJ12)*1000</f>
        <v>9.9258566562019901</v>
      </c>
      <c r="Y52" s="504"/>
      <c r="Z52" s="504"/>
      <c r="AA52" s="501">
        <f>(M52/'Population Figures'!AJ12)*1000</f>
        <v>30.231781444125307</v>
      </c>
    </row>
    <row r="53" spans="1:27">
      <c r="A53" s="7" t="s">
        <v>39</v>
      </c>
      <c r="B53" s="425">
        <v>80524</v>
      </c>
      <c r="C53" s="280">
        <v>558</v>
      </c>
      <c r="D53" s="425">
        <v>3</v>
      </c>
      <c r="E53" s="425">
        <v>10553</v>
      </c>
      <c r="F53" s="280">
        <v>45574</v>
      </c>
      <c r="G53" s="425">
        <v>4196</v>
      </c>
      <c r="H53" s="425">
        <v>15224</v>
      </c>
      <c r="I53" s="425">
        <v>3194</v>
      </c>
      <c r="J53" s="425">
        <v>936</v>
      </c>
      <c r="K53" s="504"/>
      <c r="L53" s="504"/>
      <c r="M53" s="280">
        <v>286</v>
      </c>
      <c r="N53" s="233"/>
      <c r="O53" s="7" t="s">
        <v>39</v>
      </c>
      <c r="P53" s="425">
        <f>(B53*1000)/SUM('Population Figures'!$AI13:$AK13)</f>
        <v>754.46453668134541</v>
      </c>
      <c r="Q53" s="280">
        <f>(C53/SUM('Population Figures'!AI13:AK13))*1000</f>
        <v>5.2281457884381153</v>
      </c>
      <c r="R53" s="425">
        <f>(D53/'Population Figures'!AI13)*1000</f>
        <v>0.14253812894949397</v>
      </c>
      <c r="S53" s="425">
        <f>(E53/'Population Figures'!AI13)*1000</f>
        <v>501.40162493467</v>
      </c>
      <c r="T53" s="280">
        <f>(F53/'Population Figures'!AH13)*1000</f>
        <v>2071.168878385748</v>
      </c>
      <c r="U53" s="425">
        <f>(G53/'Population Figures'!AJ13)*1000</f>
        <v>66.540858561030149</v>
      </c>
      <c r="V53" s="425">
        <f>(H53/'Population Figures'!AJ13)*1000</f>
        <v>241.42469750551072</v>
      </c>
      <c r="W53" s="425">
        <f>(I53/'Population Figures'!AJ13)*1000</f>
        <v>50.650977655846113</v>
      </c>
      <c r="X53" s="500">
        <f>(J53/'Population Figures'!AJ13)*1000</f>
        <v>14.843242043165924</v>
      </c>
      <c r="Y53" s="504"/>
      <c r="Z53" s="504"/>
      <c r="AA53" s="501">
        <f>(M53/'Population Figures'!AJ13)*1000</f>
        <v>4.5354350687451435</v>
      </c>
    </row>
    <row r="54" spans="1:27">
      <c r="A54" s="7" t="s">
        <v>40</v>
      </c>
      <c r="B54" s="425">
        <v>68751</v>
      </c>
      <c r="C54" s="280">
        <v>1574</v>
      </c>
      <c r="D54" s="425">
        <v>0</v>
      </c>
      <c r="E54" s="425">
        <v>12950</v>
      </c>
      <c r="F54" s="280">
        <v>29000</v>
      </c>
      <c r="G54" s="425">
        <v>4651</v>
      </c>
      <c r="H54" s="425">
        <v>16463</v>
      </c>
      <c r="I54" s="425">
        <v>2124</v>
      </c>
      <c r="J54" s="425">
        <v>736</v>
      </c>
      <c r="K54" s="504"/>
      <c r="L54" s="504"/>
      <c r="M54" s="280">
        <v>1253</v>
      </c>
      <c r="N54" s="233"/>
      <c r="O54" s="7" t="s">
        <v>40</v>
      </c>
      <c r="P54" s="425">
        <f>(B54*1000)/SUM('Population Figures'!$AI14:$AK14)</f>
        <v>673.69916707496327</v>
      </c>
      <c r="Q54" s="280">
        <f>(C54/SUM('Population Figures'!AI14:AK14))*1000</f>
        <v>15.423811856932875</v>
      </c>
      <c r="R54" s="425">
        <f>(D54/'Population Figures'!AI14)*1000</f>
        <v>0</v>
      </c>
      <c r="S54" s="425">
        <f>(E54/'Population Figures'!AI14)*1000</f>
        <v>608.58123032097376</v>
      </c>
      <c r="T54" s="280">
        <f>(F54/'Population Figures'!AH14)*1000</f>
        <v>1518.3246073298428</v>
      </c>
      <c r="U54" s="425">
        <f>(G54/'Population Figures'!AJ14)*1000</f>
        <v>75.903712770297844</v>
      </c>
      <c r="V54" s="425">
        <f>(H54/'Population Figures'!AJ14)*1000</f>
        <v>268.67401060791514</v>
      </c>
      <c r="W54" s="425">
        <f>(I54/'Population Figures'!AJ14)*1000</f>
        <v>34.663402692778455</v>
      </c>
      <c r="X54" s="500">
        <f>(J54/'Population Figures'!AJ14)*1000</f>
        <v>12.011423908608732</v>
      </c>
      <c r="Y54" s="504"/>
      <c r="Z54" s="504"/>
      <c r="AA54" s="501">
        <f>(M54/'Population Figures'!AJ14)*1000</f>
        <v>20.44879640962872</v>
      </c>
    </row>
    <row r="55" spans="1:27">
      <c r="A55" s="7" t="s">
        <v>41</v>
      </c>
      <c r="B55" s="425">
        <v>58862</v>
      </c>
      <c r="C55" s="280">
        <v>1290</v>
      </c>
      <c r="D55" s="425">
        <v>0</v>
      </c>
      <c r="E55" s="425">
        <v>7872</v>
      </c>
      <c r="F55" s="280">
        <v>28633</v>
      </c>
      <c r="G55" s="425">
        <v>3249</v>
      </c>
      <c r="H55" s="425">
        <v>12943</v>
      </c>
      <c r="I55" s="425">
        <v>2555</v>
      </c>
      <c r="J55" s="425">
        <v>1084</v>
      </c>
      <c r="K55" s="504"/>
      <c r="L55" s="504"/>
      <c r="M55" s="280">
        <v>1236</v>
      </c>
      <c r="N55" s="233"/>
      <c r="O55" s="7" t="s">
        <v>41</v>
      </c>
      <c r="P55" s="425">
        <f>(B55*1000)/SUM('Population Figures'!$AI15:$AK15)</f>
        <v>637.17254817059973</v>
      </c>
      <c r="Q55" s="280">
        <f>(C55/SUM('Population Figures'!AI15:AK15))*1000</f>
        <v>13.964061485169951</v>
      </c>
      <c r="R55" s="425">
        <f>(D55/'Population Figures'!AI15)*1000</f>
        <v>0</v>
      </c>
      <c r="S55" s="425">
        <f>(E55/'Population Figures'!AI15)*1000</f>
        <v>379.68456084502964</v>
      </c>
      <c r="T55" s="280">
        <f>(F55/'Population Figures'!AH15)*1000</f>
        <v>1658.5379981464318</v>
      </c>
      <c r="U55" s="425">
        <f>(G55/'Population Figures'!AJ15)*1000</f>
        <v>60.213499388413211</v>
      </c>
      <c r="V55" s="425">
        <f>(H55/'Population Figures'!AJ15)*1000</f>
        <v>239.87175210348789</v>
      </c>
      <c r="W55" s="425">
        <f>(I55/'Population Figures'!AJ15)*1000</f>
        <v>47.351643871159048</v>
      </c>
      <c r="X55" s="500">
        <f>(J55/'Population Figures'!AJ15)*1000</f>
        <v>20.089699395826386</v>
      </c>
      <c r="Y55" s="504"/>
      <c r="Z55" s="504"/>
      <c r="AA55" s="501">
        <f>(M55/'Population Figures'!AJ15)*1000</f>
        <v>22.906705215167353</v>
      </c>
    </row>
    <row r="56" spans="1:27">
      <c r="A56" s="7" t="s">
        <v>140</v>
      </c>
      <c r="B56" s="425">
        <v>377334</v>
      </c>
      <c r="C56" s="280">
        <v>1979</v>
      </c>
      <c r="D56" s="425">
        <v>79</v>
      </c>
      <c r="E56" s="425">
        <v>92804</v>
      </c>
      <c r="F56" s="280">
        <v>157034</v>
      </c>
      <c r="G56" s="425">
        <v>24138</v>
      </c>
      <c r="H56" s="425">
        <v>63940</v>
      </c>
      <c r="I56" s="425">
        <v>15867</v>
      </c>
      <c r="J56" s="425">
        <v>7982</v>
      </c>
      <c r="K56" s="504"/>
      <c r="L56" s="504"/>
      <c r="M56" s="280">
        <v>13511</v>
      </c>
      <c r="N56" s="233"/>
      <c r="O56" s="7" t="s">
        <v>140</v>
      </c>
      <c r="P56" s="425">
        <f>(B56*1000)/SUM('Population Figures'!$AI16:$AK16)</f>
        <v>765.88049037915073</v>
      </c>
      <c r="Q56" s="280">
        <f>(C56/SUM('Population Figures'!AI16:AK16))*1000</f>
        <v>4.0168060404319226</v>
      </c>
      <c r="R56" s="425">
        <f>(D56/'Population Figures'!AI16)*1000</f>
        <v>0.93408217558380136</v>
      </c>
      <c r="S56" s="425">
        <f>(E56/'Population Figures'!AI16)*1000</f>
        <v>1097.2982559858112</v>
      </c>
      <c r="T56" s="280">
        <f>(F56/'Population Figures'!AH16)*1000</f>
        <v>2173.9022094246634</v>
      </c>
      <c r="U56" s="425">
        <f>(G56/'Population Figures'!AJ16)*1000</f>
        <v>72.20547060090459</v>
      </c>
      <c r="V56" s="425">
        <f>(H56/'Population Figures'!AJ16)*1000</f>
        <v>191.26761911599303</v>
      </c>
      <c r="W56" s="425">
        <f>(I56/'Population Figures'!AJ16)*1000</f>
        <v>47.463924186948091</v>
      </c>
      <c r="X56" s="500">
        <f>(J56/'Population Figures'!AJ16)*1000</f>
        <v>23.877043099528564</v>
      </c>
      <c r="Y56" s="504"/>
      <c r="Z56" s="504"/>
      <c r="AA56" s="501">
        <f>(M56/'Population Figures'!AJ16)*1000</f>
        <v>40.416277789743219</v>
      </c>
    </row>
    <row r="57" spans="1:27">
      <c r="A57" s="7" t="s">
        <v>42</v>
      </c>
      <c r="B57" s="425">
        <v>28123</v>
      </c>
      <c r="C57" s="280">
        <v>617</v>
      </c>
      <c r="D57" s="425">
        <v>33</v>
      </c>
      <c r="E57" s="425">
        <v>3551</v>
      </c>
      <c r="F57" s="280">
        <v>17782</v>
      </c>
      <c r="G57" s="425">
        <v>1168</v>
      </c>
      <c r="H57" s="425">
        <v>3806</v>
      </c>
      <c r="I57" s="425">
        <v>671</v>
      </c>
      <c r="J57" s="425">
        <v>151</v>
      </c>
      <c r="K57" s="504"/>
      <c r="L57" s="504"/>
      <c r="M57" s="280">
        <v>344</v>
      </c>
      <c r="N57" s="233"/>
      <c r="O57" s="7" t="s">
        <v>42</v>
      </c>
      <c r="P57" s="425">
        <f>(B57*1000)/SUM('Population Figures'!$AI17:$AK17)</f>
        <v>1032.0366972477063</v>
      </c>
      <c r="Q57" s="280">
        <f>(C57/SUM('Population Figures'!AI17:AK17))*1000</f>
        <v>22.642201834862384</v>
      </c>
      <c r="R57" s="425">
        <f>(D57/'Population Figures'!AI17)*1000</f>
        <v>6.5541211519364451</v>
      </c>
      <c r="S57" s="425">
        <f>(E57/'Population Figures'!AI17)*1000</f>
        <v>705.26315789473676</v>
      </c>
      <c r="T57" s="280">
        <f>(F57/'Population Figures'!AH17)*1000</f>
        <v>2837.8550909671244</v>
      </c>
      <c r="U57" s="425">
        <f>(G57/'Population Figures'!AJ17)*1000</f>
        <v>74.069376625023779</v>
      </c>
      <c r="V57" s="425">
        <f>(H57/'Population Figures'!AJ17)*1000</f>
        <v>241.35962965311688</v>
      </c>
      <c r="W57" s="425">
        <f>(I57/'Population Figures'!AJ17)*1000</f>
        <v>42.551842222081298</v>
      </c>
      <c r="X57" s="500">
        <f>(J57/'Population Figures'!AJ17)*1000</f>
        <v>9.5757498890227666</v>
      </c>
      <c r="Y57" s="504"/>
      <c r="Z57" s="504"/>
      <c r="AA57" s="501">
        <f>(M57/'Population Figures'!AJ17)*1000</f>
        <v>21.814953389561797</v>
      </c>
    </row>
    <row r="58" spans="1:27">
      <c r="A58" s="7" t="s">
        <v>43</v>
      </c>
      <c r="B58" s="425">
        <v>116107</v>
      </c>
      <c r="C58" s="280">
        <v>526</v>
      </c>
      <c r="D58" s="425">
        <v>87</v>
      </c>
      <c r="E58" s="425">
        <v>27516</v>
      </c>
      <c r="F58" s="280">
        <v>48721</v>
      </c>
      <c r="G58" s="425">
        <v>11152</v>
      </c>
      <c r="H58" s="425">
        <v>17874</v>
      </c>
      <c r="I58" s="425">
        <v>5703</v>
      </c>
      <c r="J58" s="425">
        <v>832</v>
      </c>
      <c r="K58" s="504"/>
      <c r="L58" s="504"/>
      <c r="M58" s="280">
        <v>3696</v>
      </c>
      <c r="N58" s="233"/>
      <c r="O58" s="7" t="s">
        <v>43</v>
      </c>
      <c r="P58" s="425">
        <f>(B58*1000)/SUM('Population Figures'!$AI18:$AK18)</f>
        <v>736.53260593757932</v>
      </c>
      <c r="Q58" s="280">
        <f>(C58/SUM('Population Figures'!AI18:AK18))*1000</f>
        <v>3.3367165693986296</v>
      </c>
      <c r="R58" s="425">
        <f>(D58/'Population Figures'!AI18)*1000</f>
        <v>2.7247956403269753</v>
      </c>
      <c r="S58" s="425">
        <f>(E58/'Population Figures'!AI18)*1000</f>
        <v>861.78709010617308</v>
      </c>
      <c r="T58" s="280">
        <f>(F58/'Population Figures'!AH18)*1000</f>
        <v>1791.6084430389058</v>
      </c>
      <c r="U58" s="425">
        <f>(G58/'Population Figures'!AJ18)*1000</f>
        <v>114.08695652173913</v>
      </c>
      <c r="V58" s="425">
        <f>(H58/'Population Figures'!AJ18)*1000</f>
        <v>182.85421994884911</v>
      </c>
      <c r="W58" s="425">
        <f>(I58/'Population Figures'!AJ18)*1000</f>
        <v>58.342710997442452</v>
      </c>
      <c r="X58" s="500">
        <f>(J58/'Population Figures'!AJ18)*1000</f>
        <v>8.5115089514066486</v>
      </c>
      <c r="Y58" s="504"/>
      <c r="Z58" s="504"/>
      <c r="AA58" s="501">
        <f>(M58/'Population Figures'!AJ18)*1000</f>
        <v>37.810741687979537</v>
      </c>
    </row>
    <row r="59" spans="1:27">
      <c r="A59" s="7" t="s">
        <v>44</v>
      </c>
      <c r="B59" s="425">
        <v>276606</v>
      </c>
      <c r="C59" s="280">
        <v>665</v>
      </c>
      <c r="D59" s="425">
        <v>34</v>
      </c>
      <c r="E59" s="425">
        <v>66351</v>
      </c>
      <c r="F59" s="280">
        <v>109826</v>
      </c>
      <c r="G59" s="425">
        <v>21490</v>
      </c>
      <c r="H59" s="425">
        <v>56451</v>
      </c>
      <c r="I59" s="425">
        <v>10533</v>
      </c>
      <c r="J59" s="425">
        <v>3739</v>
      </c>
      <c r="K59" s="504"/>
      <c r="L59" s="504"/>
      <c r="M59" s="280">
        <v>7517</v>
      </c>
      <c r="N59" s="233"/>
      <c r="O59" s="7" t="s">
        <v>44</v>
      </c>
      <c r="P59" s="425">
        <f>(B59*1000)/SUM('Population Figures'!$AI19:$AK19)</f>
        <v>753.16124816206502</v>
      </c>
      <c r="Q59" s="280">
        <f>(C59/SUM('Population Figures'!AI19:AK19))*1000</f>
        <v>1.8107063116048576</v>
      </c>
      <c r="R59" s="425">
        <f>(D59/'Population Figures'!AI19)*1000</f>
        <v>0.46864877531047983</v>
      </c>
      <c r="S59" s="425">
        <f>(E59/'Population Figures'!AI19)*1000</f>
        <v>914.56808501840135</v>
      </c>
      <c r="T59" s="280">
        <f>(F59/'Population Figures'!AH19)*1000</f>
        <v>1591.3121594992465</v>
      </c>
      <c r="U59" s="425">
        <f>(G59/'Population Figures'!AJ19)*1000</f>
        <v>96.088496208327371</v>
      </c>
      <c r="V59" s="425">
        <f>(H59/'Population Figures'!AJ19)*1000</f>
        <v>252.41003720131633</v>
      </c>
      <c r="W59" s="425">
        <f>(I59/'Population Figures'!AJ19)*1000</f>
        <v>47.096329947059665</v>
      </c>
      <c r="X59" s="500">
        <f>(J59/'Population Figures'!AJ19)*1000</f>
        <v>16.718235799112893</v>
      </c>
      <c r="Y59" s="504"/>
      <c r="Z59" s="504"/>
      <c r="AA59" s="501">
        <f>(M59/'Population Figures'!AJ19)*1000</f>
        <v>33.610852768636427</v>
      </c>
    </row>
    <row r="60" spans="1:27">
      <c r="A60" s="7" t="s">
        <v>45</v>
      </c>
      <c r="B60" s="425">
        <v>539855</v>
      </c>
      <c r="C60" s="280">
        <v>804</v>
      </c>
      <c r="D60" s="425">
        <v>166</v>
      </c>
      <c r="E60" s="425">
        <v>152665</v>
      </c>
      <c r="F60" s="280">
        <v>221145</v>
      </c>
      <c r="G60" s="425">
        <v>31265</v>
      </c>
      <c r="H60" s="425">
        <v>68617</v>
      </c>
      <c r="I60" s="425">
        <v>21798</v>
      </c>
      <c r="J60" s="425">
        <v>25220</v>
      </c>
      <c r="K60" s="504"/>
      <c r="L60" s="504"/>
      <c r="M60" s="280">
        <v>18175</v>
      </c>
      <c r="N60" s="233"/>
      <c r="O60" s="7" t="s">
        <v>45</v>
      </c>
      <c r="P60" s="425">
        <f>(B60*1000)/SUM('Population Figures'!$AI20:$AK20)</f>
        <v>900.28349870757938</v>
      </c>
      <c r="Q60" s="280">
        <f>(C60/SUM('Population Figures'!AI20:AK20))*1000</f>
        <v>1.3407821229050279</v>
      </c>
      <c r="R60" s="425">
        <f>(D60/'Population Figures'!AI20)*1000</f>
        <v>1.5195064350182157</v>
      </c>
      <c r="S60" s="425">
        <f>(E60/'Population Figures'!AI20)*1000</f>
        <v>1397.4424692894934</v>
      </c>
      <c r="T60" s="280">
        <f>(F60/'Population Figures'!AH20)*1000</f>
        <v>2658.2803428255461</v>
      </c>
      <c r="U60" s="425">
        <f>(G60/'Population Figures'!AJ20)*1000</f>
        <v>76.842537315266995</v>
      </c>
      <c r="V60" s="425">
        <f>(H60/'Population Figures'!AJ20)*1000</f>
        <v>168.64559037139534</v>
      </c>
      <c r="W60" s="425">
        <f>(I60/'Population Figures'!AJ20)*1000</f>
        <v>53.574720243025432</v>
      </c>
      <c r="X60" s="500">
        <f>(J60/'Population Figures'!AJ20)*1000</f>
        <v>61.985248395683151</v>
      </c>
      <c r="Y60" s="504"/>
      <c r="Z60" s="504"/>
      <c r="AA60" s="501">
        <f>(M60/'Population Figures'!AJ20)*1000</f>
        <v>44.670178017111077</v>
      </c>
    </row>
    <row r="61" spans="1:27">
      <c r="A61" s="7" t="s">
        <v>46</v>
      </c>
      <c r="B61" s="425">
        <v>150062</v>
      </c>
      <c r="C61" s="280">
        <v>562</v>
      </c>
      <c r="D61" s="425">
        <v>121</v>
      </c>
      <c r="E61" s="425">
        <v>45870</v>
      </c>
      <c r="F61" s="280">
        <v>54560</v>
      </c>
      <c r="G61" s="425">
        <v>7450</v>
      </c>
      <c r="H61" s="425">
        <v>28440</v>
      </c>
      <c r="I61" s="425">
        <v>6743</v>
      </c>
      <c r="J61" s="425">
        <v>2932</v>
      </c>
      <c r="K61" s="504"/>
      <c r="L61" s="504"/>
      <c r="M61" s="280">
        <v>3384</v>
      </c>
      <c r="N61" s="233"/>
      <c r="O61" s="7" t="s">
        <v>46</v>
      </c>
      <c r="P61" s="425">
        <f>(B61*1000)/SUM('Population Figures'!$AI21:$AK21)</f>
        <v>643.76662376662375</v>
      </c>
      <c r="Q61" s="280">
        <f>(C61/SUM('Population Figures'!AI21:AK21))*1000</f>
        <v>2.4109824109824114</v>
      </c>
      <c r="R61" s="425">
        <f>(D61/'Population Figures'!AI21)*1000</f>
        <v>2.6602761410605931</v>
      </c>
      <c r="S61" s="425">
        <f>(E61/'Population Figures'!AI21)*1000</f>
        <v>1008.4865007475157</v>
      </c>
      <c r="T61" s="280">
        <f>(F61/'Population Figures'!AH21)*1000</f>
        <v>1172.2996927440322</v>
      </c>
      <c r="U61" s="425">
        <f>(G61/'Population Figures'!AJ21)*1000</f>
        <v>53.366379896992136</v>
      </c>
      <c r="V61" s="425">
        <f>(H61/'Population Figures'!AJ21)*1000</f>
        <v>203.72346902959148</v>
      </c>
      <c r="W61" s="425">
        <f>(I61/'Population Figures'!AJ21)*1000</f>
        <v>48.301946261129935</v>
      </c>
      <c r="X61" s="500">
        <f>(J61/'Population Figures'!AJ21)*1000</f>
        <v>21.002714880265902</v>
      </c>
      <c r="Y61" s="504"/>
      <c r="Z61" s="504"/>
      <c r="AA61" s="501">
        <f>(M61/'Population Figures'!AJ21)*1000</f>
        <v>24.240514036432405</v>
      </c>
    </row>
    <row r="62" spans="1:27">
      <c r="A62" s="7" t="s">
        <v>47</v>
      </c>
      <c r="B62" s="425">
        <v>67160</v>
      </c>
      <c r="C62" s="280">
        <v>1234</v>
      </c>
      <c r="D62" s="425">
        <v>5</v>
      </c>
      <c r="E62" s="425">
        <v>12549</v>
      </c>
      <c r="F62" s="280">
        <v>33845</v>
      </c>
      <c r="G62" s="425">
        <v>3641</v>
      </c>
      <c r="H62" s="425">
        <v>8929</v>
      </c>
      <c r="I62" s="425">
        <v>2725</v>
      </c>
      <c r="J62" s="425">
        <v>2081</v>
      </c>
      <c r="K62" s="504"/>
      <c r="L62" s="504"/>
      <c r="M62" s="280">
        <v>2151</v>
      </c>
      <c r="N62" s="233"/>
      <c r="O62" s="7" t="s">
        <v>47</v>
      </c>
      <c r="P62" s="425">
        <f>(B62*1000)/SUM('Population Figures'!$AI22:$AK22)</f>
        <v>840.97170047583268</v>
      </c>
      <c r="Q62" s="280">
        <f>(C62/SUM('Population Figures'!AI22:AK22))*1000</f>
        <v>15.452041071875783</v>
      </c>
      <c r="R62" s="425">
        <f>(D62/'Population Figures'!AI22)*1000</f>
        <v>0.33373381391002538</v>
      </c>
      <c r="S62" s="425">
        <f>(E62/'Population Figures'!AI22)*1000</f>
        <v>837.60512615138157</v>
      </c>
      <c r="T62" s="280">
        <f>(F62/'Population Figures'!AH22)*1000</f>
        <v>2193.454309786131</v>
      </c>
      <c r="U62" s="425">
        <f>(G62/'Population Figures'!AJ22)*1000</f>
        <v>74.023624128326603</v>
      </c>
      <c r="V62" s="425">
        <f>(H62/'Population Figures'!AJ22)*1000</f>
        <v>181.53170553194951</v>
      </c>
      <c r="W62" s="425">
        <f>(I62/'Population Figures'!AJ22)*1000</f>
        <v>55.400817289121107</v>
      </c>
      <c r="X62" s="500">
        <f>(J62/'Population Figures'!AJ22)*1000</f>
        <v>42.307926891251753</v>
      </c>
      <c r="Y62" s="504"/>
      <c r="Z62" s="504"/>
      <c r="AA62" s="501">
        <f>(M62/'Population Figures'!AJ22)*1000</f>
        <v>43.731067151889725</v>
      </c>
    </row>
    <row r="63" spans="1:27">
      <c r="A63" s="7" t="s">
        <v>48</v>
      </c>
      <c r="B63" s="425">
        <v>60307</v>
      </c>
      <c r="C63" s="280">
        <v>1485</v>
      </c>
      <c r="D63" s="425">
        <v>11</v>
      </c>
      <c r="E63" s="425">
        <v>14918</v>
      </c>
      <c r="F63" s="280">
        <v>25722</v>
      </c>
      <c r="G63" s="425">
        <v>3942</v>
      </c>
      <c r="H63" s="425">
        <v>10332</v>
      </c>
      <c r="I63" s="425">
        <v>1731</v>
      </c>
      <c r="J63" s="425">
        <v>1161</v>
      </c>
      <c r="K63" s="504"/>
      <c r="L63" s="504"/>
      <c r="M63" s="280">
        <v>1005</v>
      </c>
      <c r="N63" s="233"/>
      <c r="O63" s="7" t="s">
        <v>48</v>
      </c>
      <c r="P63" s="425">
        <f>(B63*1000)/SUM('Population Figures'!$AI23:$AK23)</f>
        <v>699.53601670339867</v>
      </c>
      <c r="Q63" s="280">
        <f>(C63/SUM('Population Figures'!AI23:AK23))*1000</f>
        <v>17.225379886324092</v>
      </c>
      <c r="R63" s="425">
        <f>(D63/'Population Figures'!AI23)*1000</f>
        <v>0.59727425747950258</v>
      </c>
      <c r="S63" s="425">
        <f>(E63/'Population Figures'!AI23)*1000</f>
        <v>810.01248846174735</v>
      </c>
      <c r="T63" s="280">
        <f>(F63/'Population Figures'!AH23)*1000</f>
        <v>1698.9431968295905</v>
      </c>
      <c r="U63" s="425">
        <f>(G63/'Population Figures'!AJ23)*1000</f>
        <v>75.546186278267541</v>
      </c>
      <c r="V63" s="425">
        <f>(H63/'Population Figures'!AJ23)*1000</f>
        <v>198.00689919509389</v>
      </c>
      <c r="W63" s="425">
        <f>(I63/'Population Figures'!AJ23)*1000</f>
        <v>33.173629743196628</v>
      </c>
      <c r="X63" s="500">
        <f>(J63/'Population Figures'!AJ23)*1000</f>
        <v>22.24990417784592</v>
      </c>
      <c r="Y63" s="504"/>
      <c r="Z63" s="504"/>
      <c r="AA63" s="501">
        <f>(M63/'Population Figures'!AJ23)*1000</f>
        <v>19.260252970486775</v>
      </c>
    </row>
    <row r="64" spans="1:27">
      <c r="A64" s="7" t="s">
        <v>49</v>
      </c>
      <c r="B64" s="425">
        <v>63452</v>
      </c>
      <c r="C64" s="280">
        <v>361</v>
      </c>
      <c r="D64" s="425">
        <v>14</v>
      </c>
      <c r="E64" s="425">
        <v>16850</v>
      </c>
      <c r="F64" s="280">
        <v>27843</v>
      </c>
      <c r="G64" s="425">
        <v>3908</v>
      </c>
      <c r="H64" s="425">
        <v>10242</v>
      </c>
      <c r="I64" s="425">
        <v>2236</v>
      </c>
      <c r="J64" s="425">
        <v>1107</v>
      </c>
      <c r="K64" s="504"/>
      <c r="L64" s="504"/>
      <c r="M64" s="280">
        <v>891</v>
      </c>
      <c r="N64" s="233"/>
      <c r="O64" s="7" t="s">
        <v>49</v>
      </c>
      <c r="P64" s="425">
        <f>(B64*1000)/SUM('Population Figures'!$AI24:$AK24)</f>
        <v>669.67810026385223</v>
      </c>
      <c r="Q64" s="280">
        <f>(C64/SUM('Population Figures'!AI24:AK24))*1000</f>
        <v>3.8100263852242744</v>
      </c>
      <c r="R64" s="425">
        <f>(D64/'Population Figures'!AI24)*1000</f>
        <v>0.735023888276369</v>
      </c>
      <c r="S64" s="425">
        <f>(E64/'Population Figures'!AI24)*1000</f>
        <v>884.65375124691548</v>
      </c>
      <c r="T64" s="280">
        <f>(F64/'Population Figures'!AH24)*1000</f>
        <v>1506.5743195714517</v>
      </c>
      <c r="U64" s="425">
        <f>(G64/'Population Figures'!AJ24)*1000</f>
        <v>68.920515669364946</v>
      </c>
      <c r="V64" s="425">
        <f>(H64/'Population Figures'!AJ24)*1000</f>
        <v>180.62536373736839</v>
      </c>
      <c r="W64" s="425">
        <f>(I64/'Population Figures'!AJ24)*1000</f>
        <v>39.433539671622313</v>
      </c>
      <c r="X64" s="500">
        <f>(J64/'Population Figures'!AJ24)*1000</f>
        <v>19.522776572668114</v>
      </c>
      <c r="Y64" s="504"/>
      <c r="Z64" s="504"/>
      <c r="AA64" s="501">
        <f>(M64/'Population Figures'!AJ24)*1000</f>
        <v>15.713454314586528</v>
      </c>
    </row>
    <row r="65" spans="1:27">
      <c r="A65" s="7" t="s">
        <v>50</v>
      </c>
      <c r="B65" s="425">
        <v>115642</v>
      </c>
      <c r="C65" s="280">
        <v>1114</v>
      </c>
      <c r="D65" s="425">
        <v>94</v>
      </c>
      <c r="E65" s="425">
        <v>28536</v>
      </c>
      <c r="F65" s="280">
        <v>57008</v>
      </c>
      <c r="G65" s="425">
        <v>5017</v>
      </c>
      <c r="H65" s="425">
        <v>14899</v>
      </c>
      <c r="I65" s="425">
        <v>3095</v>
      </c>
      <c r="J65" s="425">
        <v>1676</v>
      </c>
      <c r="K65" s="504"/>
      <c r="L65" s="504"/>
      <c r="M65" s="280">
        <v>4203</v>
      </c>
      <c r="N65" s="233"/>
      <c r="O65" s="7" t="s">
        <v>50</v>
      </c>
      <c r="P65" s="425">
        <f>(B65*1000)/SUM('Population Figures'!$AI25:$AK25)</f>
        <v>847.5045804323928</v>
      </c>
      <c r="Q65" s="280">
        <f>(C65/SUM('Population Figures'!AI25:AK25))*1000</f>
        <v>8.1641626969585932</v>
      </c>
      <c r="R65" s="425">
        <f>(D65/'Population Figures'!AI25)*1000</f>
        <v>3.5146756403065993</v>
      </c>
      <c r="S65" s="425">
        <f>(E65/'Population Figures'!AI25)*1000</f>
        <v>1066.9657879977565</v>
      </c>
      <c r="T65" s="280">
        <f>(F65/'Population Figures'!AH25)*1000</f>
        <v>2049.6889943551573</v>
      </c>
      <c r="U65" s="425">
        <f>(G65/'Population Figures'!AJ25)*1000</f>
        <v>61.774302776580676</v>
      </c>
      <c r="V65" s="425">
        <f>(H65/'Population Figures'!AJ25)*1000</f>
        <v>183.45133288185681</v>
      </c>
      <c r="W65" s="425">
        <f>(I65/'Population Figures'!AJ25)*1000</f>
        <v>38.108723757926491</v>
      </c>
      <c r="X65" s="500">
        <f>(J65/'Population Figures'!AJ25)*1000</f>
        <v>20.636581912208335</v>
      </c>
      <c r="Y65" s="504"/>
      <c r="Z65" s="504"/>
      <c r="AA65" s="501">
        <f>(M65/'Population Figures'!AJ25)*1000</f>
        <v>51.751523733300495</v>
      </c>
    </row>
    <row r="66" spans="1:27">
      <c r="A66" s="7" t="s">
        <v>51</v>
      </c>
      <c r="B66" s="425">
        <v>207064</v>
      </c>
      <c r="C66" s="280">
        <v>5034</v>
      </c>
      <c r="D66" s="425">
        <v>20</v>
      </c>
      <c r="E66" s="425">
        <v>33471</v>
      </c>
      <c r="F66" s="280">
        <v>90586</v>
      </c>
      <c r="G66" s="425">
        <v>11624</v>
      </c>
      <c r="H66" s="425">
        <v>44813</v>
      </c>
      <c r="I66" s="425">
        <v>12460</v>
      </c>
      <c r="J66" s="425">
        <v>1821</v>
      </c>
      <c r="K66" s="504"/>
      <c r="L66" s="504"/>
      <c r="M66" s="280">
        <v>7235</v>
      </c>
      <c r="N66" s="233"/>
      <c r="O66" s="7" t="s">
        <v>51</v>
      </c>
      <c r="P66" s="425">
        <f>(B66*1000)/SUM('Population Figures'!$AI26:$AK26)</f>
        <v>612.70602160082854</v>
      </c>
      <c r="Q66" s="280">
        <f>(C66/SUM('Population Figures'!AI26:AK26))*1000</f>
        <v>14.895694629383044</v>
      </c>
      <c r="R66" s="425">
        <f>(D66/'Population Figures'!AI26)*1000</f>
        <v>0.27766208524226016</v>
      </c>
      <c r="S66" s="425">
        <f>(E66/'Population Figures'!AI26)*1000</f>
        <v>464.68138275718451</v>
      </c>
      <c r="T66" s="280">
        <f>(F66/'Population Figures'!AH26)*1000</f>
        <v>1692.7849307644872</v>
      </c>
      <c r="U66" s="425">
        <f>(G66/'Population Figures'!AJ26)*1000</f>
        <v>55.056648099730964</v>
      </c>
      <c r="V66" s="425">
        <f>(H66/'Population Figures'!AJ26)*1000</f>
        <v>212.25512485316963</v>
      </c>
      <c r="W66" s="425">
        <f>(I66/'Population Figures'!AJ26)*1000</f>
        <v>59.01633132507294</v>
      </c>
      <c r="X66" s="500">
        <f>(J66/'Population Figures'!AJ26)*1000</f>
        <v>8.6250994657269526</v>
      </c>
      <c r="Y66" s="504"/>
      <c r="Z66" s="504"/>
      <c r="AA66" s="501">
        <f>(M66/'Population Figures'!AJ26)*1000</f>
        <v>34.268311166685614</v>
      </c>
    </row>
    <row r="67" spans="1:27">
      <c r="A67" s="7" t="s">
        <v>52</v>
      </c>
      <c r="B67" s="425">
        <v>23368</v>
      </c>
      <c r="C67" s="280">
        <v>1095</v>
      </c>
      <c r="D67" s="425">
        <v>0</v>
      </c>
      <c r="E67" s="425">
        <v>3396</v>
      </c>
      <c r="F67" s="280">
        <v>13489</v>
      </c>
      <c r="G67" s="425">
        <v>1227</v>
      </c>
      <c r="H67" s="425">
        <v>3317</v>
      </c>
      <c r="I67" s="425">
        <v>492</v>
      </c>
      <c r="J67" s="425">
        <v>50</v>
      </c>
      <c r="K67" s="504"/>
      <c r="L67" s="504"/>
      <c r="M67" s="280">
        <v>302</v>
      </c>
      <c r="N67" s="233"/>
      <c r="O67" s="7" t="s">
        <v>52</v>
      </c>
      <c r="P67" s="425">
        <f>(B67*1000)/SUM('Population Figures'!$AI27:$AK27)</f>
        <v>1082.3529411764705</v>
      </c>
      <c r="Q67" s="280">
        <f>(C67/SUM('Population Figures'!AI27:AK27))*1000</f>
        <v>50.717924965261695</v>
      </c>
      <c r="R67" s="425">
        <f>(D67/'Population Figures'!AI27)*1000</f>
        <v>0</v>
      </c>
      <c r="S67" s="425">
        <f>(E67/'Population Figures'!AI27)*1000</f>
        <v>846.67165295437553</v>
      </c>
      <c r="T67" s="280">
        <f>(F67/'Population Figures'!AH27)*1000</f>
        <v>2958.114035087719</v>
      </c>
      <c r="U67" s="425">
        <f>(G67/'Population Figures'!AJ27)*1000</f>
        <v>95.397294355465704</v>
      </c>
      <c r="V67" s="425">
        <f>(H67/'Population Figures'!AJ27)*1000</f>
        <v>257.89146322500392</v>
      </c>
      <c r="W67" s="425">
        <f>(I67/'Population Figures'!AJ27)*1000</f>
        <v>38.252215829575491</v>
      </c>
      <c r="X67" s="500">
        <f>(J67/'Population Figures'!AJ27)*1000</f>
        <v>3.8874203078836884</v>
      </c>
      <c r="Y67" s="504"/>
      <c r="Z67" s="504"/>
      <c r="AA67" s="501">
        <f>(M67/'Population Figures'!AJ27)*1000</f>
        <v>23.480018659617478</v>
      </c>
    </row>
    <row r="68" spans="1:27">
      <c r="A68" s="7" t="s">
        <v>53</v>
      </c>
      <c r="B68" s="425">
        <v>90303</v>
      </c>
      <c r="C68" s="280">
        <v>289</v>
      </c>
      <c r="D68" s="425">
        <v>0</v>
      </c>
      <c r="E68" s="425">
        <v>17739</v>
      </c>
      <c r="F68" s="280">
        <v>44202</v>
      </c>
      <c r="G68" s="425">
        <v>3463</v>
      </c>
      <c r="H68" s="425">
        <v>16218</v>
      </c>
      <c r="I68" s="425">
        <v>4313</v>
      </c>
      <c r="J68" s="425">
        <v>1049</v>
      </c>
      <c r="K68" s="504"/>
      <c r="L68" s="504"/>
      <c r="M68" s="280">
        <v>3030</v>
      </c>
      <c r="N68" s="233"/>
      <c r="O68" s="7" t="s">
        <v>53</v>
      </c>
      <c r="P68" s="425">
        <f>(B68*1000)/SUM('Population Figures'!$AI28:$AK28)</f>
        <v>606.54889844169804</v>
      </c>
      <c r="Q68" s="280">
        <f>(C68/SUM('Population Figures'!AI28:AK28))*1000</f>
        <v>1.9411606663084364</v>
      </c>
      <c r="R68" s="425">
        <f>(D68/'Population Figures'!AI28)*1000</f>
        <v>0</v>
      </c>
      <c r="S68" s="425">
        <f>(E68/'Population Figures'!AI28)*1000</f>
        <v>629.95845022905644</v>
      </c>
      <c r="T68" s="280">
        <f>(F68/'Population Figures'!AH28)*1000</f>
        <v>1392.8470143374823</v>
      </c>
      <c r="U68" s="425">
        <f>(G68/'Population Figures'!AJ28)*1000</f>
        <v>39.26081287908849</v>
      </c>
      <c r="V68" s="425">
        <f>(H68/'Population Figures'!AJ28)*1000</f>
        <v>183.86712771384842</v>
      </c>
      <c r="W68" s="425">
        <f>(I68/'Population Figures'!AJ28)*1000</f>
        <v>48.897454792812198</v>
      </c>
      <c r="X68" s="500">
        <f>(J68/'Population Figures'!AJ28)*1000</f>
        <v>11.892749844113146</v>
      </c>
      <c r="Y68" s="504"/>
      <c r="Z68" s="504"/>
      <c r="AA68" s="501">
        <f>(M68/'Population Figures'!AJ28)*1000</f>
        <v>34.351794115979821</v>
      </c>
    </row>
    <row r="69" spans="1:27">
      <c r="A69" s="7" t="s">
        <v>54</v>
      </c>
      <c r="B69" s="425">
        <v>135354</v>
      </c>
      <c r="C69" s="280">
        <v>548</v>
      </c>
      <c r="D69" s="425">
        <v>0</v>
      </c>
      <c r="E69" s="425">
        <v>36123</v>
      </c>
      <c r="F69" s="280">
        <v>56923</v>
      </c>
      <c r="G69" s="425">
        <v>7372</v>
      </c>
      <c r="H69" s="425">
        <v>22859</v>
      </c>
      <c r="I69" s="425">
        <v>4885</v>
      </c>
      <c r="J69" s="425">
        <v>2214</v>
      </c>
      <c r="K69" s="504"/>
      <c r="L69" s="504"/>
      <c r="M69" s="280">
        <v>4430</v>
      </c>
      <c r="N69" s="233"/>
      <c r="O69" s="7" t="s">
        <v>54</v>
      </c>
      <c r="P69" s="425">
        <f>(B69*1000)/SUM('Population Figures'!$AI29:$AK29)</f>
        <v>776.8696550536647</v>
      </c>
      <c r="Q69" s="280">
        <f>(C69/SUM('Population Figures'!AI29:AK29))*1000</f>
        <v>3.145267749526488</v>
      </c>
      <c r="R69" s="425">
        <f>(D69/'Population Figures'!AI29)*1000</f>
        <v>0</v>
      </c>
      <c r="S69" s="425">
        <f>(E69/'Population Figures'!AI29)*1000</f>
        <v>1059.8849832756293</v>
      </c>
      <c r="T69" s="280">
        <f>(F69/'Population Figures'!AH29)*1000</f>
        <v>1831.911949280726</v>
      </c>
      <c r="U69" s="425">
        <f>(G69/'Population Figures'!AJ29)*1000</f>
        <v>68.009262248955238</v>
      </c>
      <c r="V69" s="425">
        <f>(H69/'Population Figures'!AJ29)*1000</f>
        <v>210.88221998763802</v>
      </c>
      <c r="W69" s="425">
        <f>(I69/'Population Figures'!AJ29)*1000</f>
        <v>45.06582285487606</v>
      </c>
      <c r="X69" s="500">
        <f>(J69/'Population Figures'!AJ29)*1000</f>
        <v>20.424919508842496</v>
      </c>
      <c r="Y69" s="504"/>
      <c r="Z69" s="504"/>
      <c r="AA69" s="501">
        <f>(M69/'Population Figures'!AJ29)*1000</f>
        <v>40.868289712814928</v>
      </c>
    </row>
    <row r="70" spans="1:27">
      <c r="A70" s="7" t="s">
        <v>55</v>
      </c>
      <c r="B70" s="425">
        <v>81266</v>
      </c>
      <c r="C70" s="280">
        <v>361</v>
      </c>
      <c r="D70" s="425">
        <v>18</v>
      </c>
      <c r="E70" s="425">
        <v>13752</v>
      </c>
      <c r="F70" s="280">
        <v>37818</v>
      </c>
      <c r="G70" s="425">
        <v>6311</v>
      </c>
      <c r="H70" s="425">
        <v>18595</v>
      </c>
      <c r="I70" s="425">
        <v>2856</v>
      </c>
      <c r="J70" s="425">
        <v>311</v>
      </c>
      <c r="K70" s="504"/>
      <c r="L70" s="504"/>
      <c r="M70" s="280">
        <v>1244</v>
      </c>
      <c r="N70" s="233"/>
      <c r="O70" s="7" t="s">
        <v>55</v>
      </c>
      <c r="P70" s="425">
        <f>(B70*1000)/SUM('Population Figures'!$AI30:$AK30)</f>
        <v>712.67210383232486</v>
      </c>
      <c r="Q70" s="280">
        <f>(C70/SUM('Population Figures'!AI30:AK30))*1000</f>
        <v>3.1658335525738841</v>
      </c>
      <c r="R70" s="425">
        <f>(D70/'Population Figures'!AI30)*1000</f>
        <v>0.83114004709793599</v>
      </c>
      <c r="S70" s="425">
        <f>(E70/'Population Figures'!AI30)*1000</f>
        <v>634.99099598282316</v>
      </c>
      <c r="T70" s="280">
        <f>(F70/'Population Figures'!AH30)*1000</f>
        <v>1471.4030036573029</v>
      </c>
      <c r="U70" s="425">
        <f>(G70/'Population Figures'!AJ30)*1000</f>
        <v>95.560400956966774</v>
      </c>
      <c r="V70" s="425">
        <f>(H70/'Population Figures'!AJ30)*1000</f>
        <v>281.5632476302959</v>
      </c>
      <c r="W70" s="425">
        <f>(I70/'Population Figures'!AJ30)*1000</f>
        <v>43.245207595166718</v>
      </c>
      <c r="X70" s="500">
        <f>(J70/'Population Figures'!AJ30)*1000</f>
        <v>4.7091244965325094</v>
      </c>
      <c r="Y70" s="504"/>
      <c r="Z70" s="504"/>
      <c r="AA70" s="501">
        <f>(M70/'Population Figures'!AJ30)*1000</f>
        <v>18.836497986130038</v>
      </c>
    </row>
    <row r="71" spans="1:27">
      <c r="A71" s="7" t="s">
        <v>56</v>
      </c>
      <c r="B71" s="425">
        <v>33975</v>
      </c>
      <c r="C71" s="280">
        <v>270</v>
      </c>
      <c r="D71" s="425">
        <v>12</v>
      </c>
      <c r="E71" s="425">
        <v>4938</v>
      </c>
      <c r="F71" s="280">
        <v>17552</v>
      </c>
      <c r="G71" s="425">
        <v>2551</v>
      </c>
      <c r="H71" s="425">
        <v>6004</v>
      </c>
      <c r="I71" s="425">
        <v>1495</v>
      </c>
      <c r="J71" s="425">
        <v>725</v>
      </c>
      <c r="K71" s="504"/>
      <c r="L71" s="504"/>
      <c r="M71" s="280">
        <v>428</v>
      </c>
      <c r="N71" s="233"/>
      <c r="O71" s="7" t="s">
        <v>56</v>
      </c>
      <c r="P71" s="425">
        <f>(B71*1000)/SUM('Population Figures'!$AI31:$AK31)</f>
        <v>1462.5484287559191</v>
      </c>
      <c r="Q71" s="280">
        <f>(C71/SUM('Population Figures'!AI31:AK31))*1000</f>
        <v>11.62290142057684</v>
      </c>
      <c r="R71" s="425">
        <f>(D71/'Population Figures'!AI31)*1000</f>
        <v>2.4610336341263332</v>
      </c>
      <c r="S71" s="425">
        <f>(E71/'Population Figures'!AI31)*1000</f>
        <v>1012.7153404429861</v>
      </c>
      <c r="T71" s="280">
        <f>(F71/'Population Figures'!AH31)*1000</f>
        <v>4277.845478917865</v>
      </c>
      <c r="U71" s="425">
        <f>(G71/'Population Figures'!AJ31)*1000</f>
        <v>180.64013595807958</v>
      </c>
      <c r="V71" s="425">
        <f>(H71/'Population Figures'!AJ31)*1000</f>
        <v>425.15224472454327</v>
      </c>
      <c r="W71" s="425">
        <f>(I71/'Population Figures'!AJ31)*1000</f>
        <v>105.86319218241043</v>
      </c>
      <c r="X71" s="500">
        <f>(J71/'Population Figures'!AJ31)*1000</f>
        <v>51.338337345984989</v>
      </c>
      <c r="Y71" s="504"/>
      <c r="Z71" s="504"/>
      <c r="AA71" s="501">
        <f>(M71/'Population Figures'!AJ31)*1000</f>
        <v>30.307321909078034</v>
      </c>
    </row>
    <row r="72" spans="1:27">
      <c r="A72" s="7" t="s">
        <v>57</v>
      </c>
      <c r="B72" s="425">
        <v>92518</v>
      </c>
      <c r="C72" s="280">
        <v>0</v>
      </c>
      <c r="D72" s="425">
        <v>45</v>
      </c>
      <c r="E72" s="425">
        <v>19836</v>
      </c>
      <c r="F72" s="280">
        <v>45886</v>
      </c>
      <c r="G72" s="425">
        <v>3729</v>
      </c>
      <c r="H72" s="425">
        <v>16956</v>
      </c>
      <c r="I72" s="425">
        <v>3593</v>
      </c>
      <c r="J72" s="425">
        <v>888</v>
      </c>
      <c r="K72" s="504"/>
      <c r="L72" s="504"/>
      <c r="M72" s="280">
        <v>1585</v>
      </c>
      <c r="O72" s="7" t="s">
        <v>57</v>
      </c>
      <c r="P72" s="425">
        <f>(B72*1000)/SUM('Population Figures'!$AI32:$AK32)</f>
        <v>822.30912807750417</v>
      </c>
      <c r="Q72" s="280">
        <f>(C72/SUM('Population Figures'!AI32:AK32))*1000</f>
        <v>0</v>
      </c>
      <c r="R72" s="425">
        <f>(D72/'Population Figures'!AI32)*1000</f>
        <v>2.2011348072784189</v>
      </c>
      <c r="S72" s="425">
        <f>(E72/'Population Figures'!AI32)*1000</f>
        <v>970.26022304832713</v>
      </c>
      <c r="T72" s="280">
        <f>(F72/'Population Figures'!AH32)*1000</f>
        <v>1776.8742255266418</v>
      </c>
      <c r="U72" s="425">
        <f>(G72/'Population Figures'!AJ32)*1000</f>
        <v>56.7666311462932</v>
      </c>
      <c r="V72" s="425">
        <f>(H72/'Population Figures'!AJ32)*1000</f>
        <v>258.12147967727208</v>
      </c>
      <c r="W72" s="425">
        <f>(I72/'Population Figures'!AJ32)*1000</f>
        <v>54.696300806819913</v>
      </c>
      <c r="X72" s="500">
        <f>(J72/'Population Figures'!AJ32)*1000</f>
        <v>13.518039275384382</v>
      </c>
      <c r="Y72" s="504"/>
      <c r="Z72" s="504"/>
      <c r="AA72" s="501">
        <f>(M72/'Population Figures'!AJ32)*1000</f>
        <v>24.12848226518496</v>
      </c>
    </row>
    <row r="73" spans="1:27">
      <c r="A73" s="7" t="s">
        <v>58</v>
      </c>
      <c r="B73" s="425">
        <v>194285</v>
      </c>
      <c r="C73" s="280">
        <v>690</v>
      </c>
      <c r="D73" s="425">
        <v>5</v>
      </c>
      <c r="E73" s="425">
        <v>31967</v>
      </c>
      <c r="F73" s="280">
        <v>100227</v>
      </c>
      <c r="G73" s="425">
        <v>10575</v>
      </c>
      <c r="H73" s="425">
        <v>36444</v>
      </c>
      <c r="I73" s="425">
        <v>6810</v>
      </c>
      <c r="J73" s="425">
        <v>1638</v>
      </c>
      <c r="K73" s="504"/>
      <c r="L73" s="504"/>
      <c r="M73" s="280">
        <v>5929</v>
      </c>
      <c r="O73" s="7" t="s">
        <v>58</v>
      </c>
      <c r="P73" s="425">
        <f>(B73*1000)/SUM('Population Figures'!$AI33:$AK33)</f>
        <v>616.07369355657022</v>
      </c>
      <c r="Q73" s="280">
        <f>(C73/SUM('Population Figures'!AI33:AK33))*1000</f>
        <v>2.1879756468797562</v>
      </c>
      <c r="R73" s="425">
        <f>(D73/'Population Figures'!AI33)*1000</f>
        <v>8.0379390724218305E-2</v>
      </c>
      <c r="S73" s="425">
        <f>(E73/'Population Figures'!AI33)*1000</f>
        <v>513.89759665621739</v>
      </c>
      <c r="T73" s="280">
        <f>(F73/'Population Figures'!AH33)*1000</f>
        <v>1777.4211282342301</v>
      </c>
      <c r="U73" s="425">
        <f>(G73/'Population Figures'!AJ33)*1000</f>
        <v>54.079070504789129</v>
      </c>
      <c r="V73" s="425">
        <f>(H73/'Population Figures'!AJ33)*1000</f>
        <v>186.36951730274561</v>
      </c>
      <c r="W73" s="425">
        <f>(I73/'Population Figures'!AJ33)*1000</f>
        <v>34.825387247055694</v>
      </c>
      <c r="X73" s="500">
        <f>(J73/'Population Figures'!AJ33)*1000</f>
        <v>8.3765028356354225</v>
      </c>
      <c r="Y73" s="504"/>
      <c r="Z73" s="504"/>
      <c r="AA73" s="501">
        <f>(M73/'Population Figures'!AJ33)*1000</f>
        <v>30.320076503347021</v>
      </c>
    </row>
    <row r="74" spans="1:27">
      <c r="A74" s="7" t="s">
        <v>59</v>
      </c>
      <c r="B74" s="425">
        <v>57174</v>
      </c>
      <c r="C74" s="280">
        <v>1311</v>
      </c>
      <c r="D74" s="425">
        <v>21</v>
      </c>
      <c r="E74" s="425">
        <v>11282</v>
      </c>
      <c r="F74" s="280">
        <v>25674</v>
      </c>
      <c r="G74" s="425">
        <v>2870</v>
      </c>
      <c r="H74" s="425">
        <v>10614</v>
      </c>
      <c r="I74" s="425">
        <v>2643</v>
      </c>
      <c r="J74" s="425">
        <v>563</v>
      </c>
      <c r="K74" s="504"/>
      <c r="L74" s="504"/>
      <c r="M74" s="280">
        <v>2196</v>
      </c>
      <c r="O74" s="7" t="s">
        <v>59</v>
      </c>
      <c r="P74" s="425">
        <f>(B74*1000)/SUM('Population Figures'!$AI34:$AK34)</f>
        <v>624.30661716531995</v>
      </c>
      <c r="Q74" s="280">
        <f>(C74/SUM('Population Figures'!AI34:AK34))*1000</f>
        <v>14.315352697095435</v>
      </c>
      <c r="R74" s="425">
        <f>(D74/'Population Figures'!AI34)*1000</f>
        <v>1.1644025505960633</v>
      </c>
      <c r="S74" s="425">
        <f>(E74/'Population Figures'!AI34)*1000</f>
        <v>625.56140837260875</v>
      </c>
      <c r="T74" s="280">
        <f>(F74/'Population Figures'!AH34)*1000</f>
        <v>1548.3053913882522</v>
      </c>
      <c r="U74" s="425">
        <f>(G74/'Population Figures'!AJ34)*1000</f>
        <v>50.644973442270022</v>
      </c>
      <c r="V74" s="425">
        <f>(H74/'Population Figures'!AJ34)*1000</f>
        <v>187.29817007534984</v>
      </c>
      <c r="W74" s="425">
        <f>(I74/'Population Figures'!AJ34)*1000</f>
        <v>46.639256030634037</v>
      </c>
      <c r="X74" s="500">
        <f>(J74/'Population Figures'!AJ34)*1000</f>
        <v>9.9348850341456529</v>
      </c>
      <c r="Y74" s="504"/>
      <c r="Z74" s="504"/>
      <c r="AA74" s="501">
        <f>(M74/'Population Figures'!AJ34)*1000</f>
        <v>38.751345532831003</v>
      </c>
    </row>
    <row r="75" spans="1:27">
      <c r="A75" s="7" t="s">
        <v>60</v>
      </c>
      <c r="B75" s="425">
        <v>79412</v>
      </c>
      <c r="C75" s="280">
        <v>1091</v>
      </c>
      <c r="D75" s="425">
        <v>14</v>
      </c>
      <c r="E75" s="425">
        <v>17506</v>
      </c>
      <c r="F75" s="280">
        <v>36718</v>
      </c>
      <c r="G75" s="425">
        <v>5038</v>
      </c>
      <c r="H75" s="425">
        <v>12526</v>
      </c>
      <c r="I75" s="425">
        <v>2841</v>
      </c>
      <c r="J75" s="425">
        <v>1666</v>
      </c>
      <c r="K75" s="504"/>
      <c r="L75" s="504"/>
      <c r="M75" s="280">
        <v>2012</v>
      </c>
      <c r="O75" s="7" t="s">
        <v>60</v>
      </c>
      <c r="P75" s="425">
        <f>(B75*1000)/SUM('Population Figures'!$AI35:$AK35)</f>
        <v>885.01058731750811</v>
      </c>
      <c r="Q75" s="280">
        <f>(C75/SUM('Population Figures'!AI35:AK35))*1000</f>
        <v>12.158698317173743</v>
      </c>
      <c r="R75" s="425">
        <f>(D75/'Population Figures'!AI35)*1000</f>
        <v>0.78815515397173908</v>
      </c>
      <c r="S75" s="425">
        <f>(E75/'Population Figures'!AI35)*1000</f>
        <v>985.53172324494733</v>
      </c>
      <c r="T75" s="280">
        <f>(F75/'Population Figures'!AH35)*1000</f>
        <v>2366.4604279453465</v>
      </c>
      <c r="U75" s="425">
        <f>(G75/'Population Figures'!AJ35)*1000</f>
        <v>89.602674919076591</v>
      </c>
      <c r="V75" s="425">
        <f>(H75/'Population Figures'!AJ35)*1000</f>
        <v>222.77949702984384</v>
      </c>
      <c r="W75" s="425">
        <f>(I75/'Population Figures'!AJ35)*1000</f>
        <v>50.528225376160492</v>
      </c>
      <c r="X75" s="500">
        <f>(J75/'Population Figures'!AJ35)*1000</f>
        <v>29.630420090349659</v>
      </c>
      <c r="Y75" s="504"/>
      <c r="Z75" s="504"/>
      <c r="AA75" s="501">
        <f>(M75/'Population Figures'!AJ35)*1000</f>
        <v>35.784156795788427</v>
      </c>
    </row>
    <row r="76" spans="1:27">
      <c r="A76" s="7" t="s">
        <v>61</v>
      </c>
      <c r="B76" s="425">
        <v>96376</v>
      </c>
      <c r="C76" s="280">
        <v>2845</v>
      </c>
      <c r="D76" s="425">
        <v>42</v>
      </c>
      <c r="E76" s="425">
        <v>23680</v>
      </c>
      <c r="F76" s="280">
        <v>39252</v>
      </c>
      <c r="G76" s="425">
        <v>6281</v>
      </c>
      <c r="H76" s="425">
        <v>16231</v>
      </c>
      <c r="I76" s="425">
        <v>4205</v>
      </c>
      <c r="J76" s="425">
        <v>612</v>
      </c>
      <c r="K76" s="504"/>
      <c r="L76" s="504"/>
      <c r="M76" s="280">
        <v>3228</v>
      </c>
      <c r="O76" s="7" t="s">
        <v>61</v>
      </c>
      <c r="P76" s="425">
        <f>(B76*1000)/SUM('Population Figures'!$AI36:$AK36)</f>
        <v>544.03612757550104</v>
      </c>
      <c r="Q76" s="280">
        <f>(C76/SUM('Population Figures'!AI36:AK36))*1000</f>
        <v>16.05983629692351</v>
      </c>
      <c r="R76" s="425">
        <f>(D76/'Population Figures'!AI36)*1000</f>
        <v>1.063264221158958</v>
      </c>
      <c r="S76" s="425">
        <f>(E76/'Population Figures'!AI36)*1000</f>
        <v>599.47849421533624</v>
      </c>
      <c r="T76" s="280">
        <f>(F76/'Population Figures'!AH36)*1000</f>
        <v>1496.6256148244177</v>
      </c>
      <c r="U76" s="425">
        <f>(G76/'Population Figures'!AJ36)*1000</f>
        <v>56.831856965770591</v>
      </c>
      <c r="V76" s="425">
        <f>(H76/'Population Figures'!AJ36)*1000</f>
        <v>146.86162560283753</v>
      </c>
      <c r="W76" s="425">
        <f>(I76/'Population Figures'!AJ36)*1000</f>
        <v>38.047756494358438</v>
      </c>
      <c r="X76" s="500">
        <f>(J76/'Population Figures'!AJ36)*1000</f>
        <v>5.5375093875261268</v>
      </c>
      <c r="Y76" s="504"/>
      <c r="Z76" s="504"/>
      <c r="AA76" s="501">
        <f>(M76/'Population Figures'!AJ36)*1000</f>
        <v>29.207647553814276</v>
      </c>
    </row>
    <row r="77" spans="1:27">
      <c r="A77" s="52" t="s">
        <v>5</v>
      </c>
      <c r="B77" s="53">
        <v>3944344</v>
      </c>
      <c r="C77" s="52">
        <v>36429</v>
      </c>
      <c r="D77" s="53">
        <v>1149</v>
      </c>
      <c r="E77" s="53">
        <v>884036</v>
      </c>
      <c r="F77" s="52">
        <v>1754696</v>
      </c>
      <c r="G77" s="53">
        <v>229014</v>
      </c>
      <c r="H77" s="53">
        <v>697310</v>
      </c>
      <c r="I77" s="53">
        <v>159643</v>
      </c>
      <c r="J77" s="53">
        <v>71282</v>
      </c>
      <c r="K77" s="505"/>
      <c r="L77" s="505"/>
      <c r="M77" s="52">
        <v>110785</v>
      </c>
      <c r="N77" s="1"/>
      <c r="O77" s="52" t="s">
        <v>5</v>
      </c>
      <c r="P77" s="425">
        <f>(B77*1000)/SUM('Population Figures'!$AI37:$AK37)</f>
        <v>737.59144289026858</v>
      </c>
      <c r="Q77" s="280">
        <f>(C77/SUM('Population Figures'!AI37:AK37))*1000</f>
        <v>6.8122148253422097</v>
      </c>
      <c r="R77" s="425">
        <f>(D77/'Population Figures'!AI37)*1000</f>
        <v>1.1120972760875856</v>
      </c>
      <c r="S77" s="425">
        <f>(E77/'Population Figures'!AI37)*1000</f>
        <v>855.64319196115298</v>
      </c>
      <c r="T77" s="280">
        <f>(F77/'Population Figures'!AH37)*1000</f>
        <v>1853.1697332874273</v>
      </c>
      <c r="U77" s="425">
        <f>(G77/'Population Figures'!AJ37)*1000</f>
        <v>68.443539623697106</v>
      </c>
      <c r="V77" s="425">
        <f>(H77/'Population Figures'!AJ37)*1000</f>
        <v>208.39933198407186</v>
      </c>
      <c r="W77" s="425">
        <f>(I77/'Population Figures'!AJ37)*1000</f>
        <v>47.711196678569337</v>
      </c>
      <c r="X77" s="500">
        <f>(J77/'Population Figures'!AJ37)*1000</f>
        <v>21.303467872952648</v>
      </c>
      <c r="Y77" s="505"/>
      <c r="Z77" s="505"/>
      <c r="AA77" s="501">
        <f>(M77/'Population Figures'!AJ37)*1000</f>
        <v>33.109406137665317</v>
      </c>
    </row>
  </sheetData>
  <mergeCells count="4">
    <mergeCell ref="B1:M1"/>
    <mergeCell ref="O1:Z1"/>
    <mergeCell ref="B43:M43"/>
    <mergeCell ref="O43:Z43"/>
  </mergeCells>
  <hyperlinks>
    <hyperlink ref="A37" r:id="rId1" display="Annex B, 2012/13"/>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A77"/>
  <sheetViews>
    <sheetView topLeftCell="A46" workbookViewId="0">
      <selection activeCell="L81" sqref="L81"/>
    </sheetView>
  </sheetViews>
  <sheetFormatPr defaultRowHeight="12.75"/>
  <cols>
    <col min="1" max="1" width="23.28515625" customWidth="1"/>
    <col min="4" max="4" width="10.7109375" customWidth="1"/>
    <col min="7" max="7" width="12.5703125" customWidth="1"/>
    <col min="8" max="9" width="10" customWidth="1"/>
    <col min="10" max="10" width="11" customWidth="1"/>
    <col min="15" max="15" width="23.42578125" customWidth="1"/>
    <col min="21" max="21" width="12.140625" customWidth="1"/>
    <col min="22" max="22" width="10.5703125" customWidth="1"/>
    <col min="24" max="24" width="10.8554687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76.5">
      <c r="A2" s="21" t="s">
        <v>26</v>
      </c>
      <c r="B2" s="10" t="s">
        <v>9</v>
      </c>
      <c r="C2" s="9" t="s">
        <v>10</v>
      </c>
      <c r="D2" s="10" t="s">
        <v>11</v>
      </c>
      <c r="E2" s="10" t="s">
        <v>12</v>
      </c>
      <c r="F2" s="9" t="s">
        <v>14</v>
      </c>
      <c r="G2" s="10" t="s">
        <v>15</v>
      </c>
      <c r="H2" s="10" t="s">
        <v>16</v>
      </c>
      <c r="I2" s="10" t="s">
        <v>17</v>
      </c>
      <c r="J2" s="10" t="s">
        <v>351</v>
      </c>
      <c r="K2" s="9" t="s">
        <v>19</v>
      </c>
      <c r="L2" s="9" t="s">
        <v>20</v>
      </c>
      <c r="M2" s="9" t="s">
        <v>21</v>
      </c>
      <c r="O2" s="21" t="s">
        <v>26</v>
      </c>
      <c r="P2" s="10" t="s">
        <v>9</v>
      </c>
      <c r="Q2" s="9" t="s">
        <v>10</v>
      </c>
      <c r="R2" s="10" t="s">
        <v>11</v>
      </c>
      <c r="S2" s="10" t="s">
        <v>12</v>
      </c>
      <c r="T2" s="9" t="s">
        <v>14</v>
      </c>
      <c r="U2" s="10" t="s">
        <v>15</v>
      </c>
      <c r="V2" s="10" t="s">
        <v>16</v>
      </c>
      <c r="W2" s="10" t="s">
        <v>17</v>
      </c>
      <c r="X2" s="10" t="s">
        <v>351</v>
      </c>
      <c r="Y2" s="9" t="s">
        <v>19</v>
      </c>
      <c r="Z2" s="9" t="s">
        <v>20</v>
      </c>
      <c r="AA2" s="9" t="s">
        <v>21</v>
      </c>
    </row>
    <row r="3" spans="1:27">
      <c r="A3" s="7" t="s">
        <v>31</v>
      </c>
      <c r="B3" s="425">
        <f t="shared" ref="B3:J3" si="0">B45*$L$39</f>
        <v>164861.08358944711</v>
      </c>
      <c r="C3" s="280">
        <f t="shared" si="0"/>
        <v>729.62982685695169</v>
      </c>
      <c r="D3" s="425">
        <f t="shared" si="0"/>
        <v>59.741502601710138</v>
      </c>
      <c r="E3" s="425">
        <f t="shared" si="0"/>
        <v>37356.067766180815</v>
      </c>
      <c r="F3" s="280">
        <f t="shared" si="0"/>
        <v>69399.059276389875</v>
      </c>
      <c r="G3" s="425">
        <f t="shared" si="0"/>
        <v>12027.629400845937</v>
      </c>
      <c r="H3" s="425">
        <f t="shared" si="0"/>
        <v>29705.237957581478</v>
      </c>
      <c r="I3" s="425">
        <f t="shared" si="0"/>
        <v>8172.8334296929688</v>
      </c>
      <c r="J3" s="425">
        <f t="shared" si="0"/>
        <v>2591.4100964610661</v>
      </c>
      <c r="K3" s="504"/>
      <c r="L3" s="504"/>
      <c r="M3" s="280">
        <f>M45*$L$39</f>
        <v>4819.4743328363211</v>
      </c>
      <c r="N3" s="233"/>
      <c r="O3" s="7" t="s">
        <v>31</v>
      </c>
      <c r="P3" s="425">
        <f>(B3*1000)/SUM('Population Figures'!$AI5:$AK5)</f>
        <v>719.94883440083458</v>
      </c>
      <c r="Q3" s="280">
        <f>(C3/SUM('Population Figures'!AI5:AK5))*1000</f>
        <v>3.1862955887023525</v>
      </c>
      <c r="R3" s="425">
        <f>(D3/'Population Figures'!AI5)*1000</f>
        <v>1.5892924342035153</v>
      </c>
      <c r="S3" s="425">
        <f>(E3/'Population Figures'!AI5)*1000</f>
        <v>993.77674291515871</v>
      </c>
      <c r="T3" s="280">
        <f>(F3/'Population Figures'!AH5)*1000</f>
        <v>2058.5251765310081</v>
      </c>
      <c r="U3" s="425">
        <f>(G3/'Population Figures'!AJ5)*1000</f>
        <v>76.541338565511666</v>
      </c>
      <c r="V3" s="425">
        <f>(H3/'Population Figures'!AJ5)*1000</f>
        <v>189.03797248029755</v>
      </c>
      <c r="W3" s="425">
        <f>(I3/'Population Figures'!AJ5)*1000</f>
        <v>52.010216621545055</v>
      </c>
      <c r="X3" s="500">
        <f>(J3/'Population Figures'!AJ5)*1000</f>
        <v>16.491196306843406</v>
      </c>
      <c r="Y3" s="504"/>
      <c r="Z3" s="504"/>
      <c r="AA3" s="501">
        <f>(M3/'Population Figures'!AJ5)*1000</f>
        <v>30.670134930452154</v>
      </c>
    </row>
    <row r="4" spans="1:27">
      <c r="A4" s="7" t="s">
        <v>32</v>
      </c>
      <c r="B4" s="425">
        <f t="shared" ref="B4:E35" si="1">B46*$L$39</f>
        <v>145725.19474789279</v>
      </c>
      <c r="C4" s="280">
        <f t="shared" si="1"/>
        <v>1061.6358822992424</v>
      </c>
      <c r="D4" s="425">
        <f t="shared" si="1"/>
        <v>0</v>
      </c>
      <c r="E4" s="425">
        <f t="shared" si="1"/>
        <v>22383.476097739102</v>
      </c>
      <c r="F4" s="280">
        <f t="shared" ref="F4:J34" si="2">F46*$L$39</f>
        <v>70561.570154885441</v>
      </c>
      <c r="G4" s="425">
        <f t="shared" si="2"/>
        <v>1192.8713142439826</v>
      </c>
      <c r="H4" s="425">
        <f t="shared" si="2"/>
        <v>40613.448711316683</v>
      </c>
      <c r="I4" s="425">
        <f t="shared" si="2"/>
        <v>4824.3711773118712</v>
      </c>
      <c r="J4" s="425">
        <f t="shared" si="2"/>
        <v>2274.0945744454252</v>
      </c>
      <c r="K4" s="504"/>
      <c r="L4" s="504"/>
      <c r="M4" s="280">
        <f t="shared" ref="M4:M34" si="3">M46*$L$39</f>
        <v>2813.7268356510363</v>
      </c>
      <c r="N4" s="233"/>
      <c r="O4" s="7" t="s">
        <v>32</v>
      </c>
      <c r="P4" s="425">
        <f>(B4*1000)/SUM('Population Figures'!$AI6:$AK6)</f>
        <v>559.40573799574975</v>
      </c>
      <c r="Q4" s="280">
        <f>(C4/SUM('Population Figures'!AI6:AK6))*1000</f>
        <v>4.0753776671755952</v>
      </c>
      <c r="R4" s="425">
        <f>(D4/'Population Figures'!AI6)*1000</f>
        <v>0</v>
      </c>
      <c r="S4" s="425">
        <f>(E4/'Population Figures'!AI6)*1000</f>
        <v>408.84554865454629</v>
      </c>
      <c r="T4" s="280">
        <f>(F4/'Population Figures'!AH6)*1000</f>
        <v>1589.9407425616369</v>
      </c>
      <c r="U4" s="425">
        <f>(G4/'Population Figures'!AJ6)*1000</f>
        <v>7.4571235668274278</v>
      </c>
      <c r="V4" s="425">
        <f>(H4/'Population Figures'!AJ6)*1000</f>
        <v>253.89117996122056</v>
      </c>
      <c r="W4" s="425">
        <f>(I4/'Population Figures'!AJ6)*1000</f>
        <v>30.159105656972013</v>
      </c>
      <c r="X4" s="500">
        <f>(J4/'Population Figures'!AJ6)*1000</f>
        <v>14.216289755478892</v>
      </c>
      <c r="Y4" s="504"/>
      <c r="Z4" s="504"/>
      <c r="AA4" s="501">
        <f>(M4/'Population Figures'!AJ6)*1000</f>
        <v>17.589750416662728</v>
      </c>
    </row>
    <row r="5" spans="1:27">
      <c r="A5" s="7" t="s">
        <v>33</v>
      </c>
      <c r="B5" s="425">
        <f t="shared" si="1"/>
        <v>74079.46322612057</v>
      </c>
      <c r="C5" s="280">
        <f t="shared" si="1"/>
        <v>292.83129963789065</v>
      </c>
      <c r="D5" s="425">
        <f t="shared" si="1"/>
        <v>45.050969175060104</v>
      </c>
      <c r="E5" s="425">
        <f t="shared" si="1"/>
        <v>14573.988528131944</v>
      </c>
      <c r="F5" s="280">
        <f t="shared" si="2"/>
        <v>39971.96208501963</v>
      </c>
      <c r="G5" s="425">
        <f t="shared" si="2"/>
        <v>2914.6018318473666</v>
      </c>
      <c r="H5" s="425">
        <f t="shared" si="2"/>
        <v>11480.162188479446</v>
      </c>
      <c r="I5" s="425">
        <f t="shared" si="2"/>
        <v>2147.7559869762349</v>
      </c>
      <c r="J5" s="425">
        <f t="shared" si="2"/>
        <v>962.71962389313217</v>
      </c>
      <c r="K5" s="504"/>
      <c r="L5" s="504"/>
      <c r="M5" s="280">
        <f t="shared" si="3"/>
        <v>1690.3907129598638</v>
      </c>
      <c r="N5" s="233"/>
      <c r="O5" s="7" t="s">
        <v>33</v>
      </c>
      <c r="P5" s="425">
        <f>(B5*1000)/SUM('Population Figures'!$AI7:$AK7)</f>
        <v>635.00311354466464</v>
      </c>
      <c r="Q5" s="280">
        <f>(C5/SUM('Population Figures'!AI7:AK7))*1000</f>
        <v>2.5101260040964397</v>
      </c>
      <c r="R5" s="425">
        <f>(D5/'Population Figures'!AI7)*1000</f>
        <v>2.0012868897454625</v>
      </c>
      <c r="S5" s="425">
        <f>(E5/'Population Figures'!AI7)*1000</f>
        <v>647.41630883265714</v>
      </c>
      <c r="T5" s="280">
        <f>(F5/'Population Figures'!AH7)*1000</f>
        <v>1601.4407886626454</v>
      </c>
      <c r="U5" s="425">
        <f>(G5/'Population Figures'!AJ7)*1000</f>
        <v>42.538995735994028</v>
      </c>
      <c r="V5" s="425">
        <f>(H5/'Population Figures'!AJ7)*1000</f>
        <v>167.5544717800141</v>
      </c>
      <c r="W5" s="425">
        <f>(I5/'Population Figures'!AJ7)*1000</f>
        <v>31.346780124003658</v>
      </c>
      <c r="X5" s="500">
        <f>(J5/'Population Figures'!AJ7)*1000</f>
        <v>14.051019088871682</v>
      </c>
      <c r="Y5" s="504"/>
      <c r="Z5" s="504"/>
      <c r="AA5" s="501">
        <f>(M5/'Population Figures'!AJ7)*1000</f>
        <v>24.671474005485781</v>
      </c>
    </row>
    <row r="6" spans="1:27">
      <c r="A6" s="7" t="s">
        <v>34</v>
      </c>
      <c r="B6" s="425">
        <f t="shared" si="1"/>
        <v>64915.50847457628</v>
      </c>
      <c r="C6" s="280">
        <f t="shared" si="1"/>
        <v>573.91017253446137</v>
      </c>
      <c r="D6" s="425">
        <f t="shared" si="1"/>
        <v>39.174755804400093</v>
      </c>
      <c r="E6" s="425">
        <f t="shared" si="1"/>
        <v>10977.745945288016</v>
      </c>
      <c r="F6" s="280">
        <f t="shared" si="2"/>
        <v>33449.365243587017</v>
      </c>
      <c r="G6" s="425">
        <f t="shared" si="2"/>
        <v>2229.0436052703653</v>
      </c>
      <c r="H6" s="425">
        <f t="shared" si="2"/>
        <v>14161.674223290633</v>
      </c>
      <c r="I6" s="425">
        <f t="shared" si="2"/>
        <v>2789.2426132732862</v>
      </c>
      <c r="J6" s="425">
        <f t="shared" si="2"/>
        <v>594.47691933177134</v>
      </c>
      <c r="K6" s="504"/>
      <c r="L6" s="504"/>
      <c r="M6" s="280">
        <f t="shared" si="3"/>
        <v>100.87499619633023</v>
      </c>
      <c r="N6" s="233"/>
      <c r="O6" s="7" t="s">
        <v>34</v>
      </c>
      <c r="P6" s="425">
        <f>(B6*1000)/SUM('Population Figures'!$AI8:$AK8)</f>
        <v>740.53739989249686</v>
      </c>
      <c r="Q6" s="280">
        <f>(C6/SUM('Population Figures'!AI8:AK8))*1000</f>
        <v>6.5470017400691463</v>
      </c>
      <c r="R6" s="425">
        <f>(D6/'Population Figures'!AI8)*1000</f>
        <v>2.507184371481606</v>
      </c>
      <c r="S6" s="425">
        <f>(E6/'Population Figures'!AI8)*1000</f>
        <v>702.57574049843299</v>
      </c>
      <c r="T6" s="280">
        <f>(F6/'Population Figures'!AH8)*1000</f>
        <v>1622.1806616676536</v>
      </c>
      <c r="U6" s="425">
        <f>(G6/'Population Figures'!AJ8)*1000</f>
        <v>43.77282574220618</v>
      </c>
      <c r="V6" s="425">
        <f>(H6/'Population Figures'!AJ8)*1000</f>
        <v>278.0997628437176</v>
      </c>
      <c r="W6" s="425">
        <f>(I6/'Population Figures'!AJ8)*1000</f>
        <v>54.773729223990856</v>
      </c>
      <c r="X6" s="500">
        <f>(J6/'Population Figures'!AJ8)*1000</f>
        <v>11.674035687837939</v>
      </c>
      <c r="Y6" s="504"/>
      <c r="Z6" s="504"/>
      <c r="AA6" s="501">
        <f>(M6/'Population Figures'!AJ8)*1000</f>
        <v>1.9809319206710176</v>
      </c>
    </row>
    <row r="7" spans="1:27">
      <c r="A7" s="7" t="s">
        <v>35</v>
      </c>
      <c r="B7" s="425">
        <f t="shared" si="1"/>
        <v>38940.686638468796</v>
      </c>
      <c r="C7" s="280">
        <f t="shared" si="1"/>
        <v>786.43322277333175</v>
      </c>
      <c r="D7" s="425">
        <f t="shared" si="1"/>
        <v>19.587377902200046</v>
      </c>
      <c r="E7" s="425">
        <f t="shared" si="1"/>
        <v>10006.212001338892</v>
      </c>
      <c r="F7" s="280">
        <f t="shared" si="2"/>
        <v>16334.893801539727</v>
      </c>
      <c r="G7" s="425">
        <f t="shared" si="2"/>
        <v>3395.4719593463778</v>
      </c>
      <c r="H7" s="425">
        <f t="shared" si="2"/>
        <v>4019.3299455314491</v>
      </c>
      <c r="I7" s="425">
        <f t="shared" si="2"/>
        <v>1894.0994431427443</v>
      </c>
      <c r="J7" s="425">
        <f t="shared" si="2"/>
        <v>550.40531905182127</v>
      </c>
      <c r="K7" s="504"/>
      <c r="L7" s="504"/>
      <c r="M7" s="280">
        <f t="shared" si="3"/>
        <v>1934.2535678422544</v>
      </c>
      <c r="N7" s="233"/>
      <c r="O7" s="7" t="s">
        <v>35</v>
      </c>
      <c r="P7" s="425">
        <f>(B7*1000)/SUM('Population Figures'!$AI9:$AK9)</f>
        <v>760.70886185717507</v>
      </c>
      <c r="Q7" s="280">
        <f>(C7/SUM('Population Figures'!AI9:AK9))*1000</f>
        <v>15.36302447300902</v>
      </c>
      <c r="R7" s="425">
        <f>(D7/'Population Figures'!AI9)*1000</f>
        <v>1.9009489423718988</v>
      </c>
      <c r="S7" s="425">
        <f>(E7/'Population Figures'!AI9)*1000</f>
        <v>971.09976721068438</v>
      </c>
      <c r="T7" s="280">
        <f>(F7/'Population Figures'!AH9)*1000</f>
        <v>1811.1646303958007</v>
      </c>
      <c r="U7" s="425">
        <f>(G7/'Population Figures'!AJ9)*1000</f>
        <v>107.5980593638932</v>
      </c>
      <c r="V7" s="425">
        <f>(H7/'Population Figures'!AJ9)*1000</f>
        <v>127.36730188330478</v>
      </c>
      <c r="W7" s="425">
        <f>(I7/'Population Figures'!AJ9)*1000</f>
        <v>60.021530663331255</v>
      </c>
      <c r="X7" s="500">
        <f>(J7/'Population Figures'!AJ9)*1000</f>
        <v>17.441623698444761</v>
      </c>
      <c r="Y7" s="504"/>
      <c r="Z7" s="504"/>
      <c r="AA7" s="501">
        <f>(M7/'Population Figures'!AJ9)*1000</f>
        <v>61.293962285459784</v>
      </c>
    </row>
    <row r="8" spans="1:27">
      <c r="A8" s="7" t="s">
        <v>36</v>
      </c>
      <c r="B8" s="425">
        <f t="shared" si="1"/>
        <v>113287.5175729544</v>
      </c>
      <c r="C8" s="280">
        <f t="shared" si="1"/>
        <v>3183.9282780026174</v>
      </c>
      <c r="D8" s="425">
        <f t="shared" si="1"/>
        <v>31.339804643520072</v>
      </c>
      <c r="E8" s="425">
        <f t="shared" si="1"/>
        <v>20136.803852356756</v>
      </c>
      <c r="F8" s="280">
        <f t="shared" si="2"/>
        <v>53002.465234458214</v>
      </c>
      <c r="G8" s="425">
        <f t="shared" si="2"/>
        <v>6808.5725588047353</v>
      </c>
      <c r="H8" s="425">
        <f t="shared" si="2"/>
        <v>21993.687277485322</v>
      </c>
      <c r="I8" s="425">
        <f t="shared" si="2"/>
        <v>4869.4221464869315</v>
      </c>
      <c r="J8" s="425">
        <f t="shared" si="2"/>
        <v>376.07765572224088</v>
      </c>
      <c r="K8" s="504"/>
      <c r="L8" s="504"/>
      <c r="M8" s="280">
        <f t="shared" si="3"/>
        <v>2885.2207649940665</v>
      </c>
      <c r="N8" s="233"/>
      <c r="O8" s="7" t="s">
        <v>36</v>
      </c>
      <c r="P8" s="425">
        <f>(B8*1000)/SUM('Population Figures'!$AI10:$AK10)</f>
        <v>755.55233808826461</v>
      </c>
      <c r="Q8" s="280">
        <f>(C8/SUM('Population Figures'!AI10:AK10))*1000</f>
        <v>21.234682392974641</v>
      </c>
      <c r="R8" s="425">
        <f>(D8/'Population Figures'!AI10)*1000</f>
        <v>1.1465083096220989</v>
      </c>
      <c r="S8" s="425">
        <f>(E8/'Population Figures'!AI10)*1000</f>
        <v>736.66741731687409</v>
      </c>
      <c r="T8" s="280">
        <f>(F8/'Population Figures'!AH10)*1000</f>
        <v>1513.0592416345478</v>
      </c>
      <c r="U8" s="425">
        <f>(G8/'Population Figures'!AJ10)*1000</f>
        <v>78.403645310971157</v>
      </c>
      <c r="V8" s="425">
        <f>(H8/'Population Figures'!AJ10)*1000</f>
        <v>253.26678117785957</v>
      </c>
      <c r="W8" s="425">
        <f>(I8/'Population Figures'!AJ10)*1000</f>
        <v>56.073493165441405</v>
      </c>
      <c r="X8" s="500">
        <f>(J8/'Population Figures'!AJ10)*1000</f>
        <v>4.3306961736784988</v>
      </c>
      <c r="Y8" s="504"/>
      <c r="Z8" s="504"/>
      <c r="AA8" s="501">
        <f>(M8/'Population Figures'!AJ10)*1000</f>
        <v>33.224559707439731</v>
      </c>
    </row>
    <row r="9" spans="1:27">
      <c r="A9" s="7" t="s">
        <v>37</v>
      </c>
      <c r="B9" s="425">
        <f t="shared" si="1"/>
        <v>121235.09615677207</v>
      </c>
      <c r="C9" s="280">
        <f t="shared" si="1"/>
        <v>796.22691172443183</v>
      </c>
      <c r="D9" s="425">
        <f t="shared" si="1"/>
        <v>109.68931625232025</v>
      </c>
      <c r="E9" s="425">
        <f t="shared" si="1"/>
        <v>29737.557131120109</v>
      </c>
      <c r="F9" s="280">
        <f t="shared" si="2"/>
        <v>50869.399780908629</v>
      </c>
      <c r="G9" s="425">
        <f t="shared" si="2"/>
        <v>9273.6440677966111</v>
      </c>
      <c r="H9" s="425">
        <f t="shared" si="2"/>
        <v>19996.754100356025</v>
      </c>
      <c r="I9" s="425">
        <f t="shared" si="2"/>
        <v>4424.7886681069904</v>
      </c>
      <c r="J9" s="425">
        <f t="shared" si="2"/>
        <v>1423.0230045948333</v>
      </c>
      <c r="K9" s="504"/>
      <c r="L9" s="504"/>
      <c r="M9" s="280">
        <f t="shared" si="3"/>
        <v>4604.0131759121205</v>
      </c>
      <c r="N9" s="233"/>
      <c r="O9" s="7" t="s">
        <v>37</v>
      </c>
      <c r="P9" s="425">
        <f>(B9*1000)/SUM('Population Figures'!$AI11:$AK11)</f>
        <v>817.71952081999234</v>
      </c>
      <c r="Q9" s="280">
        <f>(C9/SUM('Population Figures'!AI11:AK11))*1000</f>
        <v>5.3704769440471587</v>
      </c>
      <c r="R9" s="425">
        <f>(D9/'Population Figures'!AI11)*1000</f>
        <v>4.0402709585001384</v>
      </c>
      <c r="S9" s="425">
        <f>(E9/'Population Figures'!AI11)*1000</f>
        <v>1095.3463159276623</v>
      </c>
      <c r="T9" s="280">
        <f>(F9/'Population Figures'!AH11)*1000</f>
        <v>1999.3475526041989</v>
      </c>
      <c r="U9" s="425">
        <f>(G9/'Population Figures'!AJ11)*1000</f>
        <v>97.294697243840019</v>
      </c>
      <c r="V9" s="425">
        <f>(H9/'Population Figures'!AJ11)*1000</f>
        <v>209.79650737403375</v>
      </c>
      <c r="W9" s="425">
        <f>(I9/'Population Figures'!AJ11)*1000</f>
        <v>46.422794608477055</v>
      </c>
      <c r="X9" s="500">
        <f>(J9/'Population Figures'!AJ11)*1000</f>
        <v>14.929685826940496</v>
      </c>
      <c r="Y9" s="504"/>
      <c r="Z9" s="504"/>
      <c r="AA9" s="501">
        <f>(M9/'Population Figures'!AJ11)*1000</f>
        <v>48.303133566722138</v>
      </c>
    </row>
    <row r="10" spans="1:27">
      <c r="A10" s="7" t="s">
        <v>38</v>
      </c>
      <c r="B10" s="425">
        <f t="shared" si="1"/>
        <v>93730.500106502761</v>
      </c>
      <c r="C10" s="280">
        <f t="shared" si="1"/>
        <v>1563.0727565955635</v>
      </c>
      <c r="D10" s="425">
        <f t="shared" si="1"/>
        <v>26.44296016797006</v>
      </c>
      <c r="E10" s="425">
        <f t="shared" si="1"/>
        <v>23640.985759060346</v>
      </c>
      <c r="F10" s="280">
        <f t="shared" si="2"/>
        <v>39897.53004899127</v>
      </c>
      <c r="G10" s="425">
        <f t="shared" si="2"/>
        <v>4978.1320938441413</v>
      </c>
      <c r="H10" s="425">
        <f t="shared" si="2"/>
        <v>17550.290600371241</v>
      </c>
      <c r="I10" s="425">
        <f t="shared" si="2"/>
        <v>3116.3518242400273</v>
      </c>
      <c r="J10" s="425">
        <f t="shared" si="2"/>
        <v>835.40166752883192</v>
      </c>
      <c r="K10" s="504"/>
      <c r="L10" s="504"/>
      <c r="M10" s="280">
        <f t="shared" si="3"/>
        <v>2122.292395703375</v>
      </c>
      <c r="N10" s="233"/>
      <c r="O10" s="7" t="s">
        <v>38</v>
      </c>
      <c r="P10" s="425">
        <f>(B10*1000)/SUM('Population Figures'!$AI12:$AK12)</f>
        <v>767.33933775278558</v>
      </c>
      <c r="Q10" s="280">
        <f>(C10/SUM('Population Figures'!AI12:AK12))*1000</f>
        <v>12.796338572210917</v>
      </c>
      <c r="R10" s="425">
        <f>(D10/'Population Figures'!AI12)*1000</f>
        <v>1.0976737305093425</v>
      </c>
      <c r="S10" s="425">
        <f>(E10/'Population Figures'!AI12)*1000</f>
        <v>981.36096965796366</v>
      </c>
      <c r="T10" s="280">
        <f>(F10/'Population Figures'!AH12)*1000</f>
        <v>1750.1219480190932</v>
      </c>
      <c r="U10" s="425">
        <f>(G10/'Population Figures'!AJ12)*1000</f>
        <v>66.503668343385769</v>
      </c>
      <c r="V10" s="425">
        <f>(H10/'Population Figures'!AJ12)*1000</f>
        <v>234.45715851140528</v>
      </c>
      <c r="W10" s="425">
        <f>(I10/'Population Figures'!AJ12)*1000</f>
        <v>41.631845891924748</v>
      </c>
      <c r="X10" s="500">
        <f>(J10/'Population Figures'!AJ12)*1000</f>
        <v>11.160265413517225</v>
      </c>
      <c r="Y10" s="504"/>
      <c r="Z10" s="504"/>
      <c r="AA10" s="501">
        <f>(M10/'Population Figures'!AJ12)*1000</f>
        <v>28.352045898114685</v>
      </c>
    </row>
    <row r="11" spans="1:27">
      <c r="A11" s="7" t="s">
        <v>39</v>
      </c>
      <c r="B11" s="425">
        <f t="shared" si="1"/>
        <v>78080.185162644935</v>
      </c>
      <c r="C11" s="280">
        <f t="shared" ref="C11:E11" si="4">C53*$L$39</f>
        <v>992.10069074643229</v>
      </c>
      <c r="D11" s="425">
        <f t="shared" si="4"/>
        <v>2.9381066853300069</v>
      </c>
      <c r="E11" s="425">
        <f t="shared" si="4"/>
        <v>10648.677996531054</v>
      </c>
      <c r="F11" s="280">
        <f t="shared" si="2"/>
        <v>40944.475397863862</v>
      </c>
      <c r="G11" s="425">
        <f t="shared" si="2"/>
        <v>4626.5386604996502</v>
      </c>
      <c r="H11" s="425">
        <f t="shared" si="2"/>
        <v>15902.992118796217</v>
      </c>
      <c r="I11" s="425">
        <f t="shared" si="2"/>
        <v>3569.7996226759583</v>
      </c>
      <c r="J11" s="425">
        <f t="shared" si="2"/>
        <v>1068.4914645650124</v>
      </c>
      <c r="K11" s="504"/>
      <c r="L11" s="504"/>
      <c r="M11" s="280">
        <f t="shared" si="3"/>
        <v>324.17110428141075</v>
      </c>
      <c r="N11" s="233"/>
      <c r="O11" s="7" t="s">
        <v>39</v>
      </c>
      <c r="P11" s="425">
        <f>(B11*1000)/SUM('Population Figures'!$AI13:$AK13)</f>
        <v>731.56736777517983</v>
      </c>
      <c r="Q11" s="280">
        <f>(C11/SUM('Population Figures'!AI13:AK13))*1000</f>
        <v>9.2954248172625533</v>
      </c>
      <c r="R11" s="425">
        <f>(D11/'Population Figures'!AI13)*1000</f>
        <v>0.13959740986031297</v>
      </c>
      <c r="S11" s="425">
        <f>(E11/'Population Figures'!AI13)*1000</f>
        <v>505.94754580372756</v>
      </c>
      <c r="T11" s="280">
        <f>(F11/'Population Figures'!AH13)*1000</f>
        <v>1860.7741955037202</v>
      </c>
      <c r="U11" s="425">
        <f>(G11/'Population Figures'!AJ13)*1000</f>
        <v>73.368411495577945</v>
      </c>
      <c r="V11" s="425">
        <f>(H11/'Population Figures'!AJ13)*1000</f>
        <v>252.19226627120977</v>
      </c>
      <c r="W11" s="425">
        <f>(I11/'Population Figures'!AJ13)*1000</f>
        <v>56.610469919852179</v>
      </c>
      <c r="X11" s="500">
        <f>(J11/'Population Figures'!AJ13)*1000</f>
        <v>16.944313493157399</v>
      </c>
      <c r="Y11" s="504"/>
      <c r="Z11" s="504"/>
      <c r="AA11" s="501">
        <f>(M11/'Population Figures'!AJ13)*1000</f>
        <v>5.1407587224886333</v>
      </c>
    </row>
    <row r="12" spans="1:27">
      <c r="A12" s="7" t="s">
        <v>40</v>
      </c>
      <c r="B12" s="425">
        <f t="shared" si="1"/>
        <v>60331.082676566359</v>
      </c>
      <c r="C12" s="280">
        <f t="shared" ref="C12:E12" si="5">C54*$L$39</f>
        <v>1477.8676627209934</v>
      </c>
      <c r="D12" s="425">
        <f t="shared" si="5"/>
        <v>2.9381066853300069</v>
      </c>
      <c r="E12" s="425">
        <f t="shared" si="5"/>
        <v>12622.106320177709</v>
      </c>
      <c r="F12" s="280">
        <f t="shared" si="2"/>
        <v>25226.584000243438</v>
      </c>
      <c r="G12" s="425">
        <f t="shared" si="2"/>
        <v>4435.5617259532</v>
      </c>
      <c r="H12" s="425">
        <f t="shared" si="2"/>
        <v>14600.431488299913</v>
      </c>
      <c r="I12" s="425">
        <f t="shared" si="2"/>
        <v>1666.8858594772239</v>
      </c>
      <c r="J12" s="425">
        <f t="shared" si="2"/>
        <v>212.5230502388705</v>
      </c>
      <c r="K12" s="504"/>
      <c r="L12" s="504"/>
      <c r="M12" s="280">
        <f t="shared" si="3"/>
        <v>86.184462769680195</v>
      </c>
      <c r="N12" s="233"/>
      <c r="O12" s="7" t="s">
        <v>40</v>
      </c>
      <c r="P12" s="425">
        <f>(B12*1000)/SUM('Population Figures'!$AI14:$AK14)</f>
        <v>591.19140300408003</v>
      </c>
      <c r="Q12" s="280">
        <f>(C12/SUM('Population Figures'!AI14:AK14))*1000</f>
        <v>14.481799732689792</v>
      </c>
      <c r="R12" s="425">
        <f>(D12/'Population Figures'!AI14)*1000</f>
        <v>0.13807541168898946</v>
      </c>
      <c r="S12" s="425">
        <f>(E12/'Population Figures'!AI14)*1000</f>
        <v>593.17196861589866</v>
      </c>
      <c r="T12" s="280">
        <f>(F12/'Population Figures'!AH14)*1000</f>
        <v>1320.7635602221694</v>
      </c>
      <c r="U12" s="425">
        <f>(G12/'Population Figures'!AJ14)*1000</f>
        <v>72.387788265250109</v>
      </c>
      <c r="V12" s="425">
        <f>(H12/'Population Figures'!AJ14)*1000</f>
        <v>238.27713567196921</v>
      </c>
      <c r="W12" s="425">
        <f>(I12/'Population Figures'!AJ14)*1000</f>
        <v>27.203359599791494</v>
      </c>
      <c r="X12" s="500">
        <f>(J12/'Population Figures'!AJ14)*1000</f>
        <v>3.4683484331109016</v>
      </c>
      <c r="Y12" s="504"/>
      <c r="Z12" s="504"/>
      <c r="AA12" s="501">
        <f>(M12/'Population Figures'!AJ14)*1000</f>
        <v>1.4065191802477388</v>
      </c>
    </row>
    <row r="13" spans="1:27">
      <c r="A13" s="7" t="s">
        <v>41</v>
      </c>
      <c r="B13" s="425">
        <f t="shared" si="1"/>
        <v>56166.806134558632</v>
      </c>
      <c r="C13" s="280">
        <f t="shared" ref="C13:E13" si="6">C55*$L$39</f>
        <v>1237.9222834190427</v>
      </c>
      <c r="D13" s="425">
        <f t="shared" si="6"/>
        <v>0</v>
      </c>
      <c r="E13" s="425">
        <f t="shared" si="6"/>
        <v>8298.1926482670497</v>
      </c>
      <c r="F13" s="280">
        <f t="shared" si="2"/>
        <v>26657.441955999151</v>
      </c>
      <c r="G13" s="425">
        <f t="shared" si="2"/>
        <v>3273.0508474576277</v>
      </c>
      <c r="H13" s="425">
        <f t="shared" si="2"/>
        <v>12033.505614216598</v>
      </c>
      <c r="I13" s="425">
        <f t="shared" si="2"/>
        <v>2475.8445668380855</v>
      </c>
      <c r="J13" s="425">
        <f t="shared" si="2"/>
        <v>964.67836168335225</v>
      </c>
      <c r="K13" s="504"/>
      <c r="L13" s="504"/>
      <c r="M13" s="280">
        <f t="shared" si="3"/>
        <v>1226.1698566777229</v>
      </c>
      <c r="N13" s="233"/>
      <c r="O13" s="7" t="s">
        <v>41</v>
      </c>
      <c r="P13" s="425">
        <f>(B13*1000)/SUM('Population Figures'!$AI15:$AK15)</f>
        <v>607.99746844077322</v>
      </c>
      <c r="Q13" s="280">
        <f>(C13/SUM('Population Figures'!AI15:AK15))*1000</f>
        <v>13.400327813585653</v>
      </c>
      <c r="R13" s="425">
        <f>(D13/'Population Figures'!AI15)*1000</f>
        <v>0</v>
      </c>
      <c r="S13" s="425">
        <f>(E13/'Population Figures'!AI15)*1000</f>
        <v>400.24080684257223</v>
      </c>
      <c r="T13" s="280">
        <f>(F13/'Population Figures'!AH15)*1000</f>
        <v>1544.1057666820639</v>
      </c>
      <c r="U13" s="425">
        <f>(G13/'Population Figures'!AJ15)*1000</f>
        <v>60.659232133467285</v>
      </c>
      <c r="V13" s="425">
        <f>(H13/'Population Figures'!AJ15)*1000</f>
        <v>223.01615356789722</v>
      </c>
      <c r="W13" s="425">
        <f>(I13/'Population Figures'!AJ15)*1000</f>
        <v>45.884661530043466</v>
      </c>
      <c r="X13" s="500">
        <f>(J13/'Population Figures'!AJ15)*1000</f>
        <v>17.878319464831019</v>
      </c>
      <c r="Y13" s="504"/>
      <c r="Z13" s="504"/>
      <c r="AA13" s="501">
        <f>(M13/'Population Figures'!AJ15)*1000</f>
        <v>22.724523827379127</v>
      </c>
    </row>
    <row r="14" spans="1:27">
      <c r="A14" s="7" t="s">
        <v>140</v>
      </c>
      <c r="B14" s="425">
        <f t="shared" si="1"/>
        <v>352693.26461369934</v>
      </c>
      <c r="C14" s="280">
        <f t="shared" ref="C14:E14" si="7">C56*$L$39</f>
        <v>2073.3239509478749</v>
      </c>
      <c r="D14" s="425">
        <f t="shared" si="7"/>
        <v>233.08979703618053</v>
      </c>
      <c r="E14" s="425">
        <f t="shared" si="7"/>
        <v>92399.537778048267</v>
      </c>
      <c r="F14" s="280">
        <f t="shared" si="2"/>
        <v>140601.13668867724</v>
      </c>
      <c r="G14" s="425">
        <f t="shared" si="2"/>
        <v>22538.21638316648</v>
      </c>
      <c r="H14" s="425">
        <f t="shared" si="2"/>
        <v>60973.548671758523</v>
      </c>
      <c r="I14" s="425">
        <f t="shared" si="2"/>
        <v>13729.772540547121</v>
      </c>
      <c r="J14" s="425">
        <f t="shared" si="2"/>
        <v>7277.6902595624269</v>
      </c>
      <c r="K14" s="504"/>
      <c r="L14" s="504"/>
      <c r="M14" s="280">
        <f t="shared" si="3"/>
        <v>12866.94854395521</v>
      </c>
      <c r="N14" s="233"/>
      <c r="O14" s="7" t="s">
        <v>140</v>
      </c>
      <c r="P14" s="425">
        <f>(B14*1000)/SUM('Population Figures'!$AI16:$AK16)</f>
        <v>715.86681946435681</v>
      </c>
      <c r="Q14" s="280">
        <f>(C14/SUM('Population Figures'!AI16:AK16))*1000</f>
        <v>4.2082567811721097</v>
      </c>
      <c r="R14" s="425">
        <f>(D14/'Population Figures'!AI16)*1000</f>
        <v>2.7560129711638255</v>
      </c>
      <c r="S14" s="425">
        <f>(E14/'Population Figures'!AI16)*1000</f>
        <v>1092.5159654513541</v>
      </c>
      <c r="T14" s="280">
        <f>(F14/'Population Figures'!AH16)*1000</f>
        <v>1946.4136537000561</v>
      </c>
      <c r="U14" s="425">
        <f>(G14/'Population Figures'!AJ16)*1000</f>
        <v>67.419940361734746</v>
      </c>
      <c r="V14" s="425">
        <f>(H14/'Population Figures'!AJ16)*1000</f>
        <v>182.3938924538688</v>
      </c>
      <c r="W14" s="425">
        <f>(I14/'Population Figures'!AJ16)*1000</f>
        <v>41.07070542437576</v>
      </c>
      <c r="X14" s="500">
        <f>(J14/'Population Figures'!AJ16)*1000</f>
        <v>21.770198445576455</v>
      </c>
      <c r="Y14" s="504"/>
      <c r="Z14" s="504"/>
      <c r="AA14" s="501">
        <f>(M14/'Population Figures'!AJ16)*1000</f>
        <v>38.489687414612227</v>
      </c>
    </row>
    <row r="15" spans="1:27">
      <c r="A15" s="7" t="s">
        <v>42</v>
      </c>
      <c r="B15" s="425">
        <f t="shared" si="1"/>
        <v>26670.173751635582</v>
      </c>
      <c r="C15" s="280">
        <f t="shared" ref="C15:E15" si="8">C57*$L$39</f>
        <v>533.75604783495123</v>
      </c>
      <c r="D15" s="425">
        <f t="shared" si="8"/>
        <v>23.504853482640055</v>
      </c>
      <c r="E15" s="425">
        <f t="shared" si="8"/>
        <v>3600.1600584243683</v>
      </c>
      <c r="F15" s="280">
        <f t="shared" si="2"/>
        <v>16621.848887806958</v>
      </c>
      <c r="G15" s="425">
        <f t="shared" si="2"/>
        <v>1298.6431549158631</v>
      </c>
      <c r="H15" s="425">
        <f t="shared" si="2"/>
        <v>3439.5435596263278</v>
      </c>
      <c r="I15" s="425">
        <f t="shared" si="2"/>
        <v>683.59948878678154</v>
      </c>
      <c r="J15" s="425">
        <f t="shared" si="2"/>
        <v>142.98785868606032</v>
      </c>
      <c r="K15" s="504"/>
      <c r="L15" s="504"/>
      <c r="M15" s="280">
        <f t="shared" si="3"/>
        <v>326.12984207163078</v>
      </c>
      <c r="N15" s="233"/>
      <c r="O15" s="7" t="s">
        <v>42</v>
      </c>
      <c r="P15" s="425">
        <f>(B15*1000)/SUM('Population Figures'!$AI17:$AK17)</f>
        <v>978.72197253708555</v>
      </c>
      <c r="Q15" s="280">
        <f>(C15/SUM('Population Figures'!AI17:AK17))*1000</f>
        <v>19.587377902200046</v>
      </c>
      <c r="R15" s="425">
        <f>(D15/'Population Figures'!AI17)*1000</f>
        <v>4.6682926479920663</v>
      </c>
      <c r="S15" s="425">
        <f>(E15/'Population Figures'!AI17)*1000</f>
        <v>715.02682391745157</v>
      </c>
      <c r="T15" s="280">
        <f>(F15/'Population Figures'!AH17)*1000</f>
        <v>2652.704897511484</v>
      </c>
      <c r="U15" s="425">
        <f>(G15/'Population Figures'!AJ17)*1000</f>
        <v>82.354185738846041</v>
      </c>
      <c r="V15" s="425">
        <f>(H15/'Population Figures'!AJ17)*1000</f>
        <v>218.12058847272039</v>
      </c>
      <c r="W15" s="425">
        <f>(I15/'Population Figures'!AJ17)*1000</f>
        <v>43.350845886662533</v>
      </c>
      <c r="X15" s="500">
        <f>(J15/'Population Figures'!AJ17)*1000</f>
        <v>9.0676554433420193</v>
      </c>
      <c r="Y15" s="504"/>
      <c r="Z15" s="504"/>
      <c r="AA15" s="501">
        <f>(M15/'Population Figures'!AJ17)*1000</f>
        <v>20.681707278307488</v>
      </c>
    </row>
    <row r="16" spans="1:27">
      <c r="A16" s="7" t="s">
        <v>43</v>
      </c>
      <c r="B16" s="425">
        <f t="shared" si="1"/>
        <v>107502.38550953961</v>
      </c>
      <c r="C16" s="280">
        <f t="shared" ref="C16:E17" si="9">C58*$L$39</f>
        <v>533.75604783495123</v>
      </c>
      <c r="D16" s="425">
        <f t="shared" si="9"/>
        <v>62.679609287040144</v>
      </c>
      <c r="E16" s="425">
        <f t="shared" si="9"/>
        <v>24010.207832516815</v>
      </c>
      <c r="F16" s="280">
        <f t="shared" si="2"/>
        <v>49791.114627392511</v>
      </c>
      <c r="G16" s="425">
        <f t="shared" si="2"/>
        <v>7966.186592824758</v>
      </c>
      <c r="H16" s="425">
        <f t="shared" si="2"/>
        <v>15562.171743297935</v>
      </c>
      <c r="I16" s="425">
        <f t="shared" si="2"/>
        <v>5436.4767367556224</v>
      </c>
      <c r="J16" s="425">
        <f t="shared" si="2"/>
        <v>673.80579983568157</v>
      </c>
      <c r="K16" s="504"/>
      <c r="L16" s="504"/>
      <c r="M16" s="280">
        <f t="shared" si="3"/>
        <v>3465.9865197942981</v>
      </c>
      <c r="N16" s="233"/>
      <c r="O16" s="7" t="s">
        <v>43</v>
      </c>
      <c r="P16" s="425">
        <f>(B16*1000)/SUM('Population Figures'!$AI18:$AK18)</f>
        <v>681.94865205239546</v>
      </c>
      <c r="Q16" s="280">
        <f>(C16/SUM('Population Figures'!AI18:AK18))*1000</f>
        <v>3.3859175833224517</v>
      </c>
      <c r="R16" s="425">
        <f>(D16/'Population Figures'!AI18)*1000</f>
        <v>1.9630934037094852</v>
      </c>
      <c r="S16" s="425">
        <f>(E16/'Population Figures'!AI18)*1000</f>
        <v>751.98746695846455</v>
      </c>
      <c r="T16" s="280">
        <f>(F16/'Population Figures'!AH18)*1000</f>
        <v>1830.9595729717037</v>
      </c>
      <c r="U16" s="425">
        <f>(G16/'Population Figures'!AJ18)*1000</f>
        <v>81.495515016110062</v>
      </c>
      <c r="V16" s="425">
        <f>(H16/'Population Figures'!AJ18)*1000</f>
        <v>159.20380300049038</v>
      </c>
      <c r="W16" s="425">
        <f>(I16/'Population Figures'!AJ18)*1000</f>
        <v>55.616130299290255</v>
      </c>
      <c r="X16" s="500">
        <f>(J16/'Population Figures'!AJ18)*1000</f>
        <v>6.8931539625133667</v>
      </c>
      <c r="Y16" s="504"/>
      <c r="Z16" s="504"/>
      <c r="AA16" s="501">
        <f>(M16/'Population Figures'!AJ18)*1000</f>
        <v>35.457662606591285</v>
      </c>
    </row>
    <row r="17" spans="1:27">
      <c r="A17" s="7" t="s">
        <v>44</v>
      </c>
      <c r="B17" s="425">
        <f t="shared" si="1"/>
        <v>247268.12053068803</v>
      </c>
      <c r="C17" s="280">
        <f t="shared" si="9"/>
        <v>581.74512369534136</v>
      </c>
      <c r="D17" s="425">
        <f t="shared" si="9"/>
        <v>85.205093874570196</v>
      </c>
      <c r="E17" s="425">
        <f t="shared" si="9"/>
        <v>49602.09643063628</v>
      </c>
      <c r="F17" s="280">
        <f t="shared" si="2"/>
        <v>102075.7024617351</v>
      </c>
      <c r="G17" s="425">
        <f t="shared" si="2"/>
        <v>21049.57566259928</v>
      </c>
      <c r="H17" s="425">
        <f t="shared" si="2"/>
        <v>53732.095061315165</v>
      </c>
      <c r="I17" s="425">
        <f t="shared" si="2"/>
        <v>9990.5420990171333</v>
      </c>
      <c r="J17" s="425">
        <f t="shared" si="2"/>
        <v>3178.0520646319574</v>
      </c>
      <c r="K17" s="504"/>
      <c r="L17" s="504"/>
      <c r="M17" s="280">
        <f t="shared" si="3"/>
        <v>6973.106533183216</v>
      </c>
      <c r="N17" s="233"/>
      <c r="O17" s="7" t="s">
        <v>44</v>
      </c>
      <c r="P17" s="425">
        <f>(B17*1000)/SUM('Population Figures'!$AI19:$AK19)</f>
        <v>673.2781150429887</v>
      </c>
      <c r="Q17" s="280">
        <f>(C17/SUM('Population Figures'!AI19:AK19))*1000</f>
        <v>1.5840143867977492</v>
      </c>
      <c r="R17" s="425">
        <f>(D17/'Population Figures'!AI19)*1000</f>
        <v>1.1744489086626997</v>
      </c>
      <c r="S17" s="425">
        <f>(E17/'Population Figures'!AI19)*1000</f>
        <v>683.7047572073534</v>
      </c>
      <c r="T17" s="280">
        <f>(F17/'Population Figures'!AH19)*1000</f>
        <v>1479.0150466809885</v>
      </c>
      <c r="U17" s="425">
        <f>(G17/'Population Figures'!AJ19)*1000</f>
        <v>94.11922155619223</v>
      </c>
      <c r="V17" s="425">
        <f>(H17/'Population Figures'!AJ19)*1000</f>
        <v>240.25296475405622</v>
      </c>
      <c r="W17" s="425">
        <f>(I17/'Population Figures'!AJ19)*1000</f>
        <v>44.670831391370072</v>
      </c>
      <c r="X17" s="500">
        <f>(J17/'Population Figures'!AJ19)*1000</f>
        <v>14.21006252965355</v>
      </c>
      <c r="Y17" s="504"/>
      <c r="Z17" s="504"/>
      <c r="AA17" s="501">
        <f>(M17/'Population Figures'!AJ19)*1000</f>
        <v>31.178935350118113</v>
      </c>
    </row>
    <row r="18" spans="1:27">
      <c r="A18" s="7" t="s">
        <v>45</v>
      </c>
      <c r="B18" s="425">
        <f t="shared" si="1"/>
        <v>529486.97882116667</v>
      </c>
      <c r="C18" s="280">
        <f t="shared" ref="C18:E18" si="10">C60*$L$39</f>
        <v>866.74147217235202</v>
      </c>
      <c r="D18" s="425">
        <f t="shared" si="10"/>
        <v>207.62620576332048</v>
      </c>
      <c r="E18" s="425">
        <f t="shared" si="10"/>
        <v>148984.53443081887</v>
      </c>
      <c r="F18" s="280">
        <f t="shared" si="2"/>
        <v>214964.61689437972</v>
      </c>
      <c r="G18" s="425">
        <f t="shared" si="2"/>
        <v>29590.651796853606</v>
      </c>
      <c r="H18" s="425">
        <f t="shared" si="2"/>
        <v>69145.40273255638</v>
      </c>
      <c r="I18" s="425">
        <f t="shared" si="2"/>
        <v>22465.743084928341</v>
      </c>
      <c r="J18" s="425">
        <f t="shared" si="2"/>
        <v>25913.121595715551</v>
      </c>
      <c r="K18" s="504"/>
      <c r="L18" s="504"/>
      <c r="M18" s="280">
        <f t="shared" si="3"/>
        <v>17348.540607978579</v>
      </c>
      <c r="N18" s="233"/>
      <c r="O18" s="7" t="s">
        <v>45</v>
      </c>
      <c r="P18" s="425">
        <f>(B18*1000)/SUM('Population Figures'!$AI20:$AK20)</f>
        <v>882.99337750548932</v>
      </c>
      <c r="Q18" s="280">
        <f>(C18/SUM('Population Figures'!AI20:AK20))*1000</f>
        <v>1.4454122774490987</v>
      </c>
      <c r="R18" s="425">
        <f>(D18/'Population Figures'!AI20)*1000</f>
        <v>1.9005382875649495</v>
      </c>
      <c r="S18" s="425">
        <f>(E18/'Population Figures'!AI20)*1000</f>
        <v>1363.7527637700134</v>
      </c>
      <c r="T18" s="280">
        <f>(F18/'Population Figures'!AH20)*1000</f>
        <v>2583.9888556980891</v>
      </c>
      <c r="U18" s="425">
        <f>(G18/'Population Figures'!AJ20)*1000</f>
        <v>72.727355345683534</v>
      </c>
      <c r="V18" s="425">
        <f>(H18/'Population Figures'!AJ20)*1000</f>
        <v>169.94428881035114</v>
      </c>
      <c r="W18" s="425">
        <f>(I18/'Population Figures'!AJ20)*1000</f>
        <v>55.21588681652991</v>
      </c>
      <c r="X18" s="500">
        <f>(J18/'Population Figures'!AJ20)*1000</f>
        <v>63.688789802457165</v>
      </c>
      <c r="Y18" s="504"/>
      <c r="Z18" s="504"/>
      <c r="AA18" s="501">
        <f>(M18/'Population Figures'!AJ20)*1000</f>
        <v>42.638921446794143</v>
      </c>
    </row>
    <row r="19" spans="1:27">
      <c r="A19" s="7" t="s">
        <v>46</v>
      </c>
      <c r="B19" s="425">
        <f t="shared" si="1"/>
        <v>143036.82713081583</v>
      </c>
      <c r="C19" s="280">
        <f t="shared" ref="C19:E19" si="11">C61*$L$39</f>
        <v>446.59221617016101</v>
      </c>
      <c r="D19" s="425">
        <f t="shared" si="11"/>
        <v>119.48300520342028</v>
      </c>
      <c r="E19" s="425">
        <f t="shared" si="11"/>
        <v>44088.249551166969</v>
      </c>
      <c r="F19" s="280">
        <f t="shared" si="2"/>
        <v>55094.397194413177</v>
      </c>
      <c r="G19" s="425">
        <f t="shared" si="2"/>
        <v>7310.9888019961663</v>
      </c>
      <c r="H19" s="425">
        <f t="shared" si="2"/>
        <v>24992.514834312147</v>
      </c>
      <c r="I19" s="425">
        <f t="shared" si="2"/>
        <v>5381.6320786294627</v>
      </c>
      <c r="J19" s="425">
        <f t="shared" si="2"/>
        <v>2231.0023430605852</v>
      </c>
      <c r="K19" s="504"/>
      <c r="L19" s="504"/>
      <c r="M19" s="280">
        <f t="shared" si="3"/>
        <v>3371.9671058637377</v>
      </c>
      <c r="N19" s="233"/>
      <c r="O19" s="7" t="s">
        <v>46</v>
      </c>
      <c r="P19" s="425">
        <f>(B19*1000)/SUM('Population Figures'!$AI21:$AK21)</f>
        <v>613.62860201980197</v>
      </c>
      <c r="Q19" s="280">
        <f>(C19/SUM('Population Figures'!AI21:AK21))*1000</f>
        <v>1.9158825232525141</v>
      </c>
      <c r="R19" s="425">
        <f>(D19/'Population Figures'!AI21)*1000</f>
        <v>2.6269238678089062</v>
      </c>
      <c r="S19" s="425">
        <f>(E19/'Population Figures'!AI21)*1000</f>
        <v>969.3133750586353</v>
      </c>
      <c r="T19" s="280">
        <f>(F19/'Population Figures'!AH21)*1000</f>
        <v>1183.7819813586555</v>
      </c>
      <c r="U19" s="425">
        <f>(G19/'Population Figures'!AJ21)*1000</f>
        <v>52.370604809393669</v>
      </c>
      <c r="V19" s="425">
        <f>(H19/'Population Figures'!AJ21)*1000</f>
        <v>179.0281934535723</v>
      </c>
      <c r="W19" s="425">
        <f>(I19/'Population Figures'!AJ21)*1000</f>
        <v>38.550096909258983</v>
      </c>
      <c r="X19" s="500">
        <f>(J19/'Population Figures'!AJ21)*1000</f>
        <v>15.981277663201448</v>
      </c>
      <c r="Y19" s="504"/>
      <c r="Z19" s="504"/>
      <c r="AA19" s="501">
        <f>(M19/'Population Figures'!AJ21)*1000</f>
        <v>24.154319137138973</v>
      </c>
    </row>
    <row r="20" spans="1:27">
      <c r="A20" s="7" t="s">
        <v>47</v>
      </c>
      <c r="B20" s="425">
        <f t="shared" si="1"/>
        <v>63805.883516416645</v>
      </c>
      <c r="C20" s="280">
        <f t="shared" ref="C20:E20" si="12">C62*$L$39</f>
        <v>1044.9866110823723</v>
      </c>
      <c r="D20" s="425">
        <f t="shared" si="12"/>
        <v>6.8555822657700158</v>
      </c>
      <c r="E20" s="425">
        <f t="shared" si="12"/>
        <v>11447.843014940816</v>
      </c>
      <c r="F20" s="280">
        <f t="shared" si="2"/>
        <v>31787.376228585345</v>
      </c>
      <c r="G20" s="425">
        <f t="shared" si="2"/>
        <v>3670.6746188722886</v>
      </c>
      <c r="H20" s="425">
        <f t="shared" si="2"/>
        <v>9069.9353376137315</v>
      </c>
      <c r="I20" s="425">
        <f t="shared" si="2"/>
        <v>2831.3554757630163</v>
      </c>
      <c r="J20" s="425">
        <f t="shared" si="2"/>
        <v>1938.1710434226945</v>
      </c>
      <c r="K20" s="504"/>
      <c r="L20" s="504"/>
      <c r="M20" s="280">
        <f t="shared" si="3"/>
        <v>2008.6856038706146</v>
      </c>
      <c r="N20" s="233"/>
      <c r="O20" s="7" t="s">
        <v>47</v>
      </c>
      <c r="P20" s="425">
        <f>(B20*1000)/SUM('Population Figures'!$AI22:$AK22)</f>
        <v>798.97174450809723</v>
      </c>
      <c r="Q20" s="280">
        <f>(C20/SUM('Population Figures'!AI22:AK22))*1000</f>
        <v>13.08523179416945</v>
      </c>
      <c r="R20" s="425">
        <f>(D20/'Population Figures'!AI22)*1000</f>
        <v>0.45758792322587205</v>
      </c>
      <c r="S20" s="425">
        <f>(E20/'Population Figures'!AI22)*1000</f>
        <v>764.10646208388846</v>
      </c>
      <c r="T20" s="280">
        <f>(F20/'Population Figures'!AH22)*1000</f>
        <v>2060.1021535052068</v>
      </c>
      <c r="U20" s="425">
        <f>(G20/'Population Figures'!AJ22)*1000</f>
        <v>74.626926197415742</v>
      </c>
      <c r="V20" s="425">
        <f>(H20/'Population Figures'!AJ22)*1000</f>
        <v>184.39700200487388</v>
      </c>
      <c r="W20" s="425">
        <f>(I20/'Population Figures'!AJ22)*1000</f>
        <v>57.563085281944744</v>
      </c>
      <c r="X20" s="500">
        <f>(J20/'Population Figures'!AJ22)*1000</f>
        <v>39.404132055679234</v>
      </c>
      <c r="Y20" s="504"/>
      <c r="Z20" s="504"/>
      <c r="AA20" s="501">
        <f>(M20/'Population Figures'!AJ22)*1000</f>
        <v>40.837733626173879</v>
      </c>
    </row>
    <row r="21" spans="1:27">
      <c r="A21" s="7" t="s">
        <v>48</v>
      </c>
      <c r="B21" s="425">
        <f t="shared" si="1"/>
        <v>56757.36557830996</v>
      </c>
      <c r="C21" s="280">
        <f t="shared" ref="C21:E21" si="13">C63*$L$39</f>
        <v>1118.4392782156226</v>
      </c>
      <c r="D21" s="425">
        <f t="shared" si="13"/>
        <v>44.071600279950104</v>
      </c>
      <c r="E21" s="425">
        <f t="shared" si="13"/>
        <v>14643.523719684754</v>
      </c>
      <c r="F21" s="280">
        <f t="shared" si="2"/>
        <v>24645.818245443206</v>
      </c>
      <c r="G21" s="425">
        <f t="shared" si="2"/>
        <v>3441.5022974165481</v>
      </c>
      <c r="H21" s="425">
        <f t="shared" si="2"/>
        <v>9335.3443081885416</v>
      </c>
      <c r="I21" s="425">
        <f t="shared" si="2"/>
        <v>1867.6564829747742</v>
      </c>
      <c r="J21" s="425">
        <f t="shared" si="2"/>
        <v>754.11404923470172</v>
      </c>
      <c r="K21" s="504"/>
      <c r="L21" s="504"/>
      <c r="M21" s="280">
        <f t="shared" si="3"/>
        <v>906.89559687186204</v>
      </c>
      <c r="N21" s="233"/>
      <c r="O21" s="7" t="s">
        <v>48</v>
      </c>
      <c r="P21" s="425">
        <f>(B21*1000)/SUM('Population Figures'!$AI23:$AK23)</f>
        <v>658.36173968576691</v>
      </c>
      <c r="Q21" s="280">
        <f>(C21/SUM('Population Figures'!AI23:AK23))*1000</f>
        <v>12.973428583872202</v>
      </c>
      <c r="R21" s="425">
        <f>(D21/'Population Figures'!AI23)*1000</f>
        <v>2.3929847575582399</v>
      </c>
      <c r="S21" s="425">
        <f>(E21/'Population Figures'!AI23)*1000</f>
        <v>795.10906877801779</v>
      </c>
      <c r="T21" s="280">
        <f>(F21/'Population Figures'!AH23)*1000</f>
        <v>1627.8611786950598</v>
      </c>
      <c r="U21" s="425">
        <f>(G21/'Population Figures'!AJ23)*1000</f>
        <v>65.954432683337444</v>
      </c>
      <c r="V21" s="425">
        <f>(H21/'Population Figures'!AJ23)*1000</f>
        <v>178.9065601415972</v>
      </c>
      <c r="W21" s="425">
        <f>(I21/'Population Figures'!AJ23)*1000</f>
        <v>35.792573456779877</v>
      </c>
      <c r="X21" s="500">
        <f>(J21/'Population Figures'!AJ23)*1000</f>
        <v>14.452166524237288</v>
      </c>
      <c r="Y21" s="504"/>
      <c r="Z21" s="504"/>
      <c r="AA21" s="501">
        <f>(M21/'Population Figures'!AJ23)*1000</f>
        <v>17.380137923952894</v>
      </c>
    </row>
    <row r="22" spans="1:27">
      <c r="A22" s="7" t="s">
        <v>49</v>
      </c>
      <c r="B22" s="425">
        <f t="shared" si="1"/>
        <v>62845.122630313737</v>
      </c>
      <c r="C22" s="280">
        <f t="shared" ref="C22:E22" si="14">C64*$L$39</f>
        <v>748.2378358640417</v>
      </c>
      <c r="D22" s="425">
        <f t="shared" si="14"/>
        <v>23.504853482640055</v>
      </c>
      <c r="E22" s="425">
        <f t="shared" si="14"/>
        <v>16416.181419833858</v>
      </c>
      <c r="F22" s="280">
        <f t="shared" si="2"/>
        <v>26902.284179776652</v>
      </c>
      <c r="G22" s="425">
        <f t="shared" si="2"/>
        <v>3476.7595776405078</v>
      </c>
      <c r="H22" s="425">
        <f t="shared" si="2"/>
        <v>11416.503210297296</v>
      </c>
      <c r="I22" s="425">
        <f t="shared" si="2"/>
        <v>2030.2317195630346</v>
      </c>
      <c r="J22" s="425">
        <f t="shared" si="2"/>
        <v>707.10434226942164</v>
      </c>
      <c r="K22" s="504"/>
      <c r="L22" s="504"/>
      <c r="M22" s="280">
        <f t="shared" si="3"/>
        <v>903.95749018653203</v>
      </c>
      <c r="N22" s="233"/>
      <c r="O22" s="7" t="s">
        <v>49</v>
      </c>
      <c r="P22" s="425">
        <f>(B22*1000)/SUM('Population Figures'!$AI24:$AK24)</f>
        <v>663.2730620613587</v>
      </c>
      <c r="Q22" s="280">
        <f>(C22/SUM('Population Figures'!AI24:AK24))*1000</f>
        <v>7.8969692439476695</v>
      </c>
      <c r="R22" s="425">
        <f>(D22/'Population Figures'!AI24)*1000</f>
        <v>1.2340449142983174</v>
      </c>
      <c r="S22" s="425">
        <f>(E22/'Population Figures'!AI24)*1000</f>
        <v>861.87753556118332</v>
      </c>
      <c r="T22" s="280">
        <f>(F22/'Population Figures'!AH24)*1000</f>
        <v>1455.6725382704751</v>
      </c>
      <c r="U22" s="425">
        <f>(G22/'Population Figures'!AJ24)*1000</f>
        <v>61.315266875482912</v>
      </c>
      <c r="V22" s="425">
        <f>(H22/'Population Figures'!AJ24)*1000</f>
        <v>201.33861013169138</v>
      </c>
      <c r="W22" s="425">
        <f>(I22/'Population Figures'!AJ24)*1000</f>
        <v>35.804661474049603</v>
      </c>
      <c r="X22" s="500">
        <f>(J22/'Population Figures'!AJ24)*1000</f>
        <v>12.470316249041877</v>
      </c>
      <c r="Y22" s="504"/>
      <c r="Z22" s="504"/>
      <c r="AA22" s="501">
        <f>(M22/'Population Figures'!AJ24)*1000</f>
        <v>15.941969387625557</v>
      </c>
    </row>
    <row r="23" spans="1:27">
      <c r="A23" s="7" t="s">
        <v>50</v>
      </c>
      <c r="B23" s="425">
        <f t="shared" si="1"/>
        <v>113376.64014240941</v>
      </c>
      <c r="C23" s="280">
        <f t="shared" ref="C23:E24" si="15">C65*$L$39</f>
        <v>1245.7572345799229</v>
      </c>
      <c r="D23" s="425">
        <f t="shared" si="15"/>
        <v>104.79247177677024</v>
      </c>
      <c r="E23" s="425">
        <f t="shared" si="15"/>
        <v>26450.79511913094</v>
      </c>
      <c r="F23" s="280">
        <f t="shared" si="2"/>
        <v>55687.894744849837</v>
      </c>
      <c r="G23" s="425">
        <f t="shared" si="2"/>
        <v>6381.5677205367747</v>
      </c>
      <c r="H23" s="425">
        <f t="shared" si="2"/>
        <v>14751.254298146854</v>
      </c>
      <c r="I23" s="425">
        <f t="shared" si="2"/>
        <v>2982.1782856099567</v>
      </c>
      <c r="J23" s="425">
        <f t="shared" si="2"/>
        <v>1803.0181358975142</v>
      </c>
      <c r="K23" s="504"/>
      <c r="L23" s="504"/>
      <c r="M23" s="280">
        <f t="shared" si="3"/>
        <v>3969.3821318808391</v>
      </c>
      <c r="N23" s="233"/>
      <c r="O23" s="7" t="s">
        <v>50</v>
      </c>
      <c r="P23" s="425">
        <f>(B23*1000)/SUM('Population Figures'!$AI25:$AK25)</f>
        <v>830.90245615543722</v>
      </c>
      <c r="Q23" s="280">
        <f>(C23/SUM('Population Figures'!AI25:AK25))*1000</f>
        <v>9.1297708653713663</v>
      </c>
      <c r="R23" s="425">
        <f>(D23/'Population Figures'!AI25)*1000</f>
        <v>3.9182079557588425</v>
      </c>
      <c r="S23" s="425">
        <f>(E23/'Population Figures'!AI25)*1000</f>
        <v>988.99963055266187</v>
      </c>
      <c r="T23" s="280">
        <f>(F23/'Population Figures'!AH25)*1000</f>
        <v>2002.2253890213153</v>
      </c>
      <c r="U23" s="425">
        <f>(G23/'Population Figures'!AJ25)*1000</f>
        <v>78.57622016298437</v>
      </c>
      <c r="V23" s="425">
        <f>(H23/'Population Figures'!AJ25)*1000</f>
        <v>181.63214059160074</v>
      </c>
      <c r="W23" s="425">
        <f>(I23/'Population Figures'!AJ25)*1000</f>
        <v>36.719550398448028</v>
      </c>
      <c r="X23" s="500">
        <f>(J23/'Population Figures'!AJ25)*1000</f>
        <v>22.200555758142144</v>
      </c>
      <c r="Y23" s="504"/>
      <c r="Z23" s="504"/>
      <c r="AA23" s="501">
        <f>(M23/'Population Figures'!AJ25)*1000</f>
        <v>48.874987771727376</v>
      </c>
    </row>
    <row r="24" spans="1:27">
      <c r="A24" s="7" t="s">
        <v>51</v>
      </c>
      <c r="B24" s="425">
        <f t="shared" si="1"/>
        <v>192995.41383927217</v>
      </c>
      <c r="C24" s="280">
        <f t="shared" si="15"/>
        <v>4268.08964488939</v>
      </c>
      <c r="D24" s="425">
        <f t="shared" si="15"/>
        <v>37.216018014180086</v>
      </c>
      <c r="E24" s="425">
        <f t="shared" si="15"/>
        <v>31036.200286035972</v>
      </c>
      <c r="F24" s="280">
        <f t="shared" si="2"/>
        <v>84262.940997474376</v>
      </c>
      <c r="G24" s="425">
        <f t="shared" si="2"/>
        <v>9908.275111827892</v>
      </c>
      <c r="H24" s="425">
        <f t="shared" si="2"/>
        <v>42525.176794571409</v>
      </c>
      <c r="I24" s="425">
        <f t="shared" si="2"/>
        <v>11837.631835194597</v>
      </c>
      <c r="J24" s="425">
        <f t="shared" si="2"/>
        <v>1744.2560021909139</v>
      </c>
      <c r="K24" s="504"/>
      <c r="L24" s="504"/>
      <c r="M24" s="280">
        <f t="shared" si="3"/>
        <v>7375.6271490734271</v>
      </c>
      <c r="N24" s="233"/>
      <c r="O24" s="7" t="s">
        <v>51</v>
      </c>
      <c r="P24" s="425">
        <f>(B24*1000)/SUM('Population Figures'!$AI26:$AK26)</f>
        <v>571.0768274575297</v>
      </c>
      <c r="Q24" s="280">
        <f>(C24/SUM('Population Figures'!AI26:AK26))*1000</f>
        <v>12.629352403874508</v>
      </c>
      <c r="R24" s="425">
        <f>(D24/'Population Figures'!AI26)*1000</f>
        <v>0.51667385831153811</v>
      </c>
      <c r="S24" s="425">
        <f>(E24/'Population Figures'!AI26)*1000</f>
        <v>430.878804470859</v>
      </c>
      <c r="T24" s="280">
        <f>(F24/'Population Figures'!AH26)*1000</f>
        <v>1574.6256236330307</v>
      </c>
      <c r="U24" s="425">
        <f>(G24/'Population Figures'!AJ26)*1000</f>
        <v>46.930180325811314</v>
      </c>
      <c r="V24" s="425">
        <f>(H24/'Population Figures'!AJ26)*1000</f>
        <v>201.41893445952886</v>
      </c>
      <c r="W24" s="425">
        <f>(I24/'Population Figures'!AJ26)*1000</f>
        <v>56.06850742295952</v>
      </c>
      <c r="X24" s="500">
        <f>(J24/'Population Figures'!AJ26)*1000</f>
        <v>8.2616043451882941</v>
      </c>
      <c r="Y24" s="504"/>
      <c r="Z24" s="504"/>
      <c r="AA24" s="501">
        <f>(M24/'Population Figures'!AJ26)*1000</f>
        <v>34.934386481534553</v>
      </c>
    </row>
    <row r="25" spans="1:27">
      <c r="A25" s="7" t="s">
        <v>52</v>
      </c>
      <c r="B25" s="425">
        <f t="shared" si="1"/>
        <v>22096.521011471872</v>
      </c>
      <c r="C25" s="280">
        <f t="shared" ref="C25:E25" si="16">C67*$L$39</f>
        <v>664.01211088458149</v>
      </c>
      <c r="D25" s="425">
        <f t="shared" si="16"/>
        <v>0</v>
      </c>
      <c r="E25" s="425">
        <f t="shared" si="16"/>
        <v>3557.0678270395283</v>
      </c>
      <c r="F25" s="280">
        <f t="shared" si="2"/>
        <v>12151.029881629798</v>
      </c>
      <c r="G25" s="425">
        <f t="shared" si="2"/>
        <v>1184.0569941879928</v>
      </c>
      <c r="H25" s="425">
        <f t="shared" si="2"/>
        <v>3710.8287435717984</v>
      </c>
      <c r="I25" s="425">
        <f t="shared" si="2"/>
        <v>518.08614551319124</v>
      </c>
      <c r="J25" s="425">
        <f t="shared" si="2"/>
        <v>45.050969175060104</v>
      </c>
      <c r="K25" s="504"/>
      <c r="L25" s="504"/>
      <c r="M25" s="280">
        <f t="shared" si="3"/>
        <v>266.3883394699206</v>
      </c>
      <c r="N25" s="233"/>
      <c r="O25" s="7" t="s">
        <v>52</v>
      </c>
      <c r="P25" s="425">
        <f>(B25*1000)/SUM('Population Figures'!$AI27:$AK27)</f>
        <v>1023.4609083590492</v>
      </c>
      <c r="Q25" s="280">
        <f>(C25/SUM('Population Figures'!AI27:AK27))*1000</f>
        <v>30.755540105816653</v>
      </c>
      <c r="R25" s="425">
        <f>(D25/'Population Figures'!AI27)*1000</f>
        <v>0</v>
      </c>
      <c r="S25" s="425">
        <f>(E25/'Population Figures'!AI27)*1000</f>
        <v>886.82817926689802</v>
      </c>
      <c r="T25" s="280">
        <f>(F25/'Population Figures'!AH27)*1000</f>
        <v>2664.699535445131</v>
      </c>
      <c r="U25" s="425">
        <f>(G25/'Population Figures'!AJ27)*1000</f>
        <v>92.058544097962439</v>
      </c>
      <c r="V25" s="425">
        <f>(H25/'Population Figures'!AJ27)*1000</f>
        <v>288.51102033679041</v>
      </c>
      <c r="W25" s="425">
        <f>(I25/'Population Figures'!AJ27)*1000</f>
        <v>40.280372066023268</v>
      </c>
      <c r="X25" s="500">
        <f>(J25/'Population Figures'!AJ27)*1000</f>
        <v>3.502641049219414</v>
      </c>
      <c r="Y25" s="504"/>
      <c r="Z25" s="504"/>
      <c r="AA25" s="501">
        <f>(M25/'Population Figures'!AJ27)*1000</f>
        <v>20.711268812775664</v>
      </c>
    </row>
    <row r="26" spans="1:27">
      <c r="A26" s="7" t="s">
        <v>53</v>
      </c>
      <c r="B26" s="425">
        <f t="shared" si="1"/>
        <v>86179.565925204646</v>
      </c>
      <c r="C26" s="280">
        <f t="shared" ref="C26:E26" si="17">C68*$L$39</f>
        <v>354.5315400298208</v>
      </c>
      <c r="D26" s="425">
        <f t="shared" si="17"/>
        <v>0</v>
      </c>
      <c r="E26" s="425">
        <f t="shared" si="17"/>
        <v>17777.504184036759</v>
      </c>
      <c r="F26" s="280">
        <f t="shared" si="2"/>
        <v>42513.424367830085</v>
      </c>
      <c r="G26" s="425">
        <f t="shared" si="2"/>
        <v>2665.8421324894261</v>
      </c>
      <c r="H26" s="425">
        <f t="shared" si="2"/>
        <v>14776.717889419713</v>
      </c>
      <c r="I26" s="425">
        <f t="shared" si="2"/>
        <v>4053.6078568602993</v>
      </c>
      <c r="J26" s="425">
        <f t="shared" si="2"/>
        <v>1053.8009311383623</v>
      </c>
      <c r="K26" s="504"/>
      <c r="L26" s="504"/>
      <c r="M26" s="280">
        <f t="shared" si="3"/>
        <v>2984.137023400177</v>
      </c>
      <c r="N26" s="233"/>
      <c r="O26" s="7" t="s">
        <v>53</v>
      </c>
      <c r="P26" s="425">
        <f>(B26*1000)/SUM('Population Figures'!$AI28:$AK28)</f>
        <v>578.85253845516286</v>
      </c>
      <c r="Q26" s="280">
        <f>(C26/SUM('Population Figures'!AI28:AK28))*1000</f>
        <v>2.3813241538811178</v>
      </c>
      <c r="R26" s="425">
        <f>(D26/'Population Figures'!AI28)*1000</f>
        <v>0</v>
      </c>
      <c r="S26" s="425">
        <f>(E26/'Population Figures'!AI28)*1000</f>
        <v>631.32583486760041</v>
      </c>
      <c r="T26" s="280">
        <f>(F26/'Population Figures'!AH28)*1000</f>
        <v>1339.6383919278426</v>
      </c>
      <c r="U26" s="425">
        <f>(G26/'Population Figures'!AJ28)*1000</f>
        <v>30.223254152139063</v>
      </c>
      <c r="V26" s="425">
        <f>(H26/'Population Figures'!AJ28)*1000</f>
        <v>167.52698701229764</v>
      </c>
      <c r="W26" s="425">
        <f>(I26/'Population Figures'!AJ28)*1000</f>
        <v>45.956667500258483</v>
      </c>
      <c r="X26" s="500">
        <f>(J26/'Population Figures'!AJ28)*1000</f>
        <v>11.947179084387079</v>
      </c>
      <c r="Y26" s="504"/>
      <c r="Z26" s="504"/>
      <c r="AA26" s="501">
        <f>(M26/'Population Figures'!AJ28)*1000</f>
        <v>33.83183519528572</v>
      </c>
    </row>
    <row r="27" spans="1:27">
      <c r="A27" s="7" t="s">
        <v>54</v>
      </c>
      <c r="B27" s="425">
        <f t="shared" si="1"/>
        <v>128281.65535708853</v>
      </c>
      <c r="C27" s="280">
        <f t="shared" ref="C27:E27" si="18">C69*$L$39</f>
        <v>519.06551440830117</v>
      </c>
      <c r="D27" s="425">
        <f t="shared" si="18"/>
        <v>0</v>
      </c>
      <c r="E27" s="425">
        <f t="shared" si="18"/>
        <v>34530.588503788458</v>
      </c>
      <c r="F27" s="280">
        <f t="shared" si="2"/>
        <v>54373.581687612212</v>
      </c>
      <c r="G27" s="425">
        <f t="shared" si="2"/>
        <v>6994.6526488756363</v>
      </c>
      <c r="H27" s="425">
        <f t="shared" si="2"/>
        <v>20806.692176611999</v>
      </c>
      <c r="I27" s="425">
        <f t="shared" si="2"/>
        <v>4653.9609895627309</v>
      </c>
      <c r="J27" s="425">
        <f t="shared" si="2"/>
        <v>2091.9319599549649</v>
      </c>
      <c r="K27" s="504"/>
      <c r="L27" s="504"/>
      <c r="M27" s="280">
        <f t="shared" si="3"/>
        <v>4311.1818762742296</v>
      </c>
      <c r="N27" s="233"/>
      <c r="O27" s="7" t="s">
        <v>54</v>
      </c>
      <c r="P27" s="425">
        <f>(B27*1000)/SUM('Population Figures'!$AI29:$AK29)</f>
        <v>736.27765228197518</v>
      </c>
      <c r="Q27" s="280">
        <f>(C27/SUM('Population Figures'!AI29:AK29))*1000</f>
        <v>2.9791971210945372</v>
      </c>
      <c r="R27" s="425">
        <f>(D27/'Population Figures'!AI29)*1000</f>
        <v>0</v>
      </c>
      <c r="S27" s="425">
        <f>(E27/'Population Figures'!AI29)*1000</f>
        <v>1013.1620357898146</v>
      </c>
      <c r="T27" s="280">
        <f>(F27/'Population Figures'!AH29)*1000</f>
        <v>1749.8658542017897</v>
      </c>
      <c r="U27" s="425">
        <f>(G27/'Population Figures'!AJ29)*1000</f>
        <v>64.528101782112373</v>
      </c>
      <c r="V27" s="425">
        <f>(H27/'Population Figures'!AJ29)*1000</f>
        <v>191.94896700657767</v>
      </c>
      <c r="W27" s="425">
        <f>(I27/'Population Figures'!AJ29)*1000</f>
        <v>42.934407682525631</v>
      </c>
      <c r="X27" s="500">
        <f>(J27/'Population Figures'!AJ29)*1000</f>
        <v>19.298799412852432</v>
      </c>
      <c r="Y27" s="504"/>
      <c r="Z27" s="504"/>
      <c r="AA27" s="501">
        <f>(M27/'Population Figures'!AJ29)*1000</f>
        <v>39.772151224427148</v>
      </c>
    </row>
    <row r="28" spans="1:27">
      <c r="A28" s="7" t="s">
        <v>55</v>
      </c>
      <c r="B28" s="425">
        <f t="shared" si="1"/>
        <v>84050.417947235503</v>
      </c>
      <c r="C28" s="280">
        <f t="shared" ref="C28:E28" si="19">C70*$L$39</f>
        <v>261.49149499437061</v>
      </c>
      <c r="D28" s="425">
        <f t="shared" si="19"/>
        <v>19.587377902200046</v>
      </c>
      <c r="E28" s="425">
        <f t="shared" si="19"/>
        <v>15197.846514317014</v>
      </c>
      <c r="F28" s="280">
        <f t="shared" si="2"/>
        <v>39120.890515169041</v>
      </c>
      <c r="G28" s="425">
        <f t="shared" si="2"/>
        <v>5440.3942123360621</v>
      </c>
      <c r="H28" s="425">
        <f t="shared" si="2"/>
        <v>19569.749262088066</v>
      </c>
      <c r="I28" s="425">
        <f t="shared" si="2"/>
        <v>2664.8627635943162</v>
      </c>
      <c r="J28" s="425">
        <f t="shared" si="2"/>
        <v>372.16018014180088</v>
      </c>
      <c r="K28" s="504"/>
      <c r="L28" s="504"/>
      <c r="M28" s="280">
        <f t="shared" si="3"/>
        <v>1403.4356266926332</v>
      </c>
      <c r="N28" s="233"/>
      <c r="O28" s="7" t="s">
        <v>55</v>
      </c>
      <c r="P28" s="425">
        <f>(B28*1000)/SUM('Population Figures'!$AI30:$AK30)</f>
        <v>737.09039680115325</v>
      </c>
      <c r="Q28" s="280">
        <f>(C28/SUM('Population Figures'!AI30:AK30))*1000</f>
        <v>2.2931815749747488</v>
      </c>
      <c r="R28" s="425">
        <f>(D28/'Population Figures'!AI30)*1000</f>
        <v>0.90443634400886763</v>
      </c>
      <c r="S28" s="425">
        <f>(E28/'Population Figures'!AI30)*1000</f>
        <v>701.75215931648029</v>
      </c>
      <c r="T28" s="280">
        <f>(F28/'Population Figures'!AH30)*1000</f>
        <v>1522.0951877351586</v>
      </c>
      <c r="U28" s="425">
        <f>(G28/'Population Figures'!AJ30)*1000</f>
        <v>82.377793106448351</v>
      </c>
      <c r="V28" s="425">
        <f>(H28/'Population Figures'!AJ30)*1000</f>
        <v>296.32278341189038</v>
      </c>
      <c r="W28" s="425">
        <f>(I28/'Population Figures'!AJ30)*1000</f>
        <v>40.351030610737354</v>
      </c>
      <c r="X28" s="500">
        <f>(J28/'Population Figures'!AJ30)*1000</f>
        <v>5.6352045689379624</v>
      </c>
      <c r="Y28" s="504"/>
      <c r="Z28" s="504"/>
      <c r="AA28" s="501">
        <f>(M28/'Population Figures'!AJ30)*1000</f>
        <v>21.250653019179207</v>
      </c>
    </row>
    <row r="29" spans="1:27">
      <c r="A29" s="7" t="s">
        <v>56</v>
      </c>
      <c r="B29" s="425">
        <f t="shared" si="1"/>
        <v>33832.298481575024</v>
      </c>
      <c r="C29" s="280">
        <f t="shared" ref="C29:E29" si="20">C71*$L$39</f>
        <v>413.29367373642094</v>
      </c>
      <c r="D29" s="425">
        <f t="shared" si="20"/>
        <v>41.133493594620091</v>
      </c>
      <c r="E29" s="425">
        <f t="shared" si="20"/>
        <v>4525.6636643033207</v>
      </c>
      <c r="F29" s="280">
        <f t="shared" si="2"/>
        <v>17541.476280315252</v>
      </c>
      <c r="G29" s="425">
        <f t="shared" si="2"/>
        <v>2528.7304871740257</v>
      </c>
      <c r="H29" s="425">
        <f t="shared" si="2"/>
        <v>6139.6636034446037</v>
      </c>
      <c r="I29" s="425">
        <f t="shared" si="2"/>
        <v>1572.8664455466635</v>
      </c>
      <c r="J29" s="425">
        <f t="shared" si="2"/>
        <v>666.9502175699115</v>
      </c>
      <c r="K29" s="504"/>
      <c r="L29" s="504"/>
      <c r="M29" s="280">
        <f t="shared" si="3"/>
        <v>402.52061589021093</v>
      </c>
      <c r="N29" s="233"/>
      <c r="O29" s="7" t="s">
        <v>56</v>
      </c>
      <c r="P29" s="425">
        <f>(B29*1000)/SUM('Population Figures'!$AI31:$AK31)</f>
        <v>1456.4054447514002</v>
      </c>
      <c r="Q29" s="280">
        <f>(C29/SUM('Population Figures'!AI31:AK31))*1000</f>
        <v>17.791376398468401</v>
      </c>
      <c r="R29" s="425">
        <f>(D29/'Population Figures'!AI31)*1000</f>
        <v>8.4359092687900112</v>
      </c>
      <c r="S29" s="425">
        <f>(E29/'Population Figures'!AI31)*1000</f>
        <v>928.1508745494915</v>
      </c>
      <c r="T29" s="280">
        <f>(F29/'Population Figures'!AH31)*1000</f>
        <v>4275.2805947636489</v>
      </c>
      <c r="U29" s="425">
        <f>(G29/'Population Figures'!AJ31)*1000</f>
        <v>179.06319835533392</v>
      </c>
      <c r="V29" s="425">
        <f>(H29/'Population Figures'!AJ31)*1000</f>
        <v>434.75878795104114</v>
      </c>
      <c r="W29" s="425">
        <f>(I29/'Population Figures'!AJ31)*1000</f>
        <v>111.37703197469646</v>
      </c>
      <c r="X29" s="500">
        <f>(J29/'Population Figures'!AJ31)*1000</f>
        <v>47.227745189768548</v>
      </c>
      <c r="Y29" s="504"/>
      <c r="Z29" s="504"/>
      <c r="AA29" s="501">
        <f>(M29/'Population Figures'!AJ31)*1000</f>
        <v>28.503088506600406</v>
      </c>
    </row>
    <row r="30" spans="1:27">
      <c r="A30" s="7" t="s">
        <v>57</v>
      </c>
      <c r="B30" s="425">
        <f t="shared" si="1"/>
        <v>88216.653227033457</v>
      </c>
      <c r="C30" s="280">
        <f t="shared" ref="C30:E31" si="21">C72*$L$39</f>
        <v>0</v>
      </c>
      <c r="D30" s="425">
        <f t="shared" si="21"/>
        <v>54.844658126160127</v>
      </c>
      <c r="E30" s="425">
        <f t="shared" si="21"/>
        <v>18569.813620180754</v>
      </c>
      <c r="F30" s="280">
        <f t="shared" si="2"/>
        <v>44559.325989714882</v>
      </c>
      <c r="G30" s="425">
        <f t="shared" si="2"/>
        <v>3631.4998630678883</v>
      </c>
      <c r="H30" s="425">
        <f t="shared" si="2"/>
        <v>16692.363448254877</v>
      </c>
      <c r="I30" s="425">
        <f t="shared" si="2"/>
        <v>3709.8493746766885</v>
      </c>
      <c r="J30" s="425">
        <f t="shared" si="2"/>
        <v>871.638316647902</v>
      </c>
      <c r="K30" s="504"/>
      <c r="L30" s="504"/>
      <c r="M30" s="280">
        <f t="shared" si="3"/>
        <v>127.31795636430029</v>
      </c>
      <c r="O30" s="7" t="s">
        <v>57</v>
      </c>
      <c r="P30" s="425">
        <f>(B30*1000)/SUM('Population Figures'!$AI32:$AK32)</f>
        <v>784.07833283293439</v>
      </c>
      <c r="Q30" s="280">
        <f>(C30/SUM('Population Figures'!AI32:AK32))*1000</f>
        <v>0</v>
      </c>
      <c r="R30" s="425">
        <f>(D30/'Population Figures'!AI32)*1000</f>
        <v>2.6826774665505835</v>
      </c>
      <c r="S30" s="425">
        <f>(E30/'Population Figures'!AI32)*1000</f>
        <v>908.32584720117165</v>
      </c>
      <c r="T30" s="280">
        <f>(F30/'Population Figures'!AH32)*1000</f>
        <v>1725.5005417330731</v>
      </c>
      <c r="U30" s="425">
        <f>(G30/'Population Figures'!AJ32)*1000</f>
        <v>55.282384884577382</v>
      </c>
      <c r="V30" s="425">
        <f>(H30/'Population Figures'!AJ32)*1000</f>
        <v>254.10813591497754</v>
      </c>
      <c r="W30" s="425">
        <f>(I30/'Population Figures'!AJ32)*1000</f>
        <v>56.475100847567191</v>
      </c>
      <c r="X30" s="500">
        <f>(J30/'Population Figures'!AJ32)*1000</f>
        <v>13.268965088261561</v>
      </c>
      <c r="Y30" s="504"/>
      <c r="Z30" s="504"/>
      <c r="AA30" s="501">
        <f>(M30/'Population Figures'!AJ32)*1000</f>
        <v>1.9381634398584304</v>
      </c>
    </row>
    <row r="31" spans="1:27">
      <c r="A31" s="7" t="s">
        <v>58</v>
      </c>
      <c r="B31" s="425">
        <f t="shared" si="1"/>
        <v>189086.75257888815</v>
      </c>
      <c r="C31" s="280">
        <f t="shared" si="21"/>
        <v>656.17715972370149</v>
      </c>
      <c r="D31" s="425">
        <f t="shared" si="21"/>
        <v>27.422329063080063</v>
      </c>
      <c r="E31" s="425">
        <f t="shared" si="21"/>
        <v>31516.091044639874</v>
      </c>
      <c r="F31" s="280">
        <f t="shared" si="2"/>
        <v>97173.961141709529</v>
      </c>
      <c r="G31" s="425">
        <f t="shared" si="2"/>
        <v>10185.436509144023</v>
      </c>
      <c r="H31" s="425">
        <f t="shared" si="2"/>
        <v>35068.262027203848</v>
      </c>
      <c r="I31" s="425">
        <f t="shared" si="2"/>
        <v>6812.4900343851759</v>
      </c>
      <c r="J31" s="425">
        <f t="shared" si="2"/>
        <v>1333.900435139823</v>
      </c>
      <c r="K31" s="504"/>
      <c r="L31" s="504"/>
      <c r="M31" s="280">
        <f t="shared" si="3"/>
        <v>6313.0118978790742</v>
      </c>
      <c r="O31" s="7" t="s">
        <v>58</v>
      </c>
      <c r="P31" s="425">
        <f>(B31*1000)/SUM('Population Figures'!$AI33:$AK33)</f>
        <v>599.59015911621054</v>
      </c>
      <c r="Q31" s="280">
        <f>(C31/SUM('Population Figures'!AI33:AK33))*1000</f>
        <v>2.0807241239336047</v>
      </c>
      <c r="R31" s="425">
        <f>(D31/'Population Figures'!AI33)*1000</f>
        <v>0.44083802046587994</v>
      </c>
      <c r="S31" s="425">
        <f>(E31/'Population Figures'!AI33)*1000</f>
        <v>506.64883923542925</v>
      </c>
      <c r="T31" s="280">
        <f>(F31/'Population Figures'!AH33)*1000</f>
        <v>1723.2786738851466</v>
      </c>
      <c r="U31" s="425">
        <f>(G31/'Population Figures'!AJ33)*1000</f>
        <v>52.086897314425805</v>
      </c>
      <c r="V31" s="425">
        <f>(H31/'Population Figures'!AJ33)*1000</f>
        <v>179.33418578246585</v>
      </c>
      <c r="W31" s="425">
        <f>(I31/'Population Figures'!AJ33)*1000</f>
        <v>34.838120934533265</v>
      </c>
      <c r="X31" s="500">
        <f>(J31/'Population Figures'!AJ33)*1000</f>
        <v>6.8213802059853794</v>
      </c>
      <c r="Y31" s="504"/>
      <c r="Z31" s="504"/>
      <c r="AA31" s="501">
        <f>(M31/'Population Figures'!AJ33)*1000</f>
        <v>32.283859623921998</v>
      </c>
    </row>
    <row r="32" spans="1:27">
      <c r="A32" s="7" t="s">
        <v>59</v>
      </c>
      <c r="B32" s="425">
        <f t="shared" si="1"/>
        <v>57882.660438791354</v>
      </c>
      <c r="C32" s="280">
        <f t="shared" ref="C32:E32" si="22">C74*$L$39</f>
        <v>1259.468399111463</v>
      </c>
      <c r="D32" s="425">
        <f t="shared" si="22"/>
        <v>30.360435748410069</v>
      </c>
      <c r="E32" s="425">
        <f t="shared" si="22"/>
        <v>11173.619724310016</v>
      </c>
      <c r="F32" s="280">
        <f t="shared" si="2"/>
        <v>26250.024495633392</v>
      </c>
      <c r="G32" s="425">
        <f t="shared" si="2"/>
        <v>2913.6224629522567</v>
      </c>
      <c r="H32" s="425">
        <f t="shared" si="2"/>
        <v>10798.521437482885</v>
      </c>
      <c r="I32" s="425">
        <f t="shared" si="2"/>
        <v>2746.1503818884462</v>
      </c>
      <c r="J32" s="425">
        <f t="shared" si="2"/>
        <v>509.27182545720115</v>
      </c>
      <c r="K32" s="504"/>
      <c r="L32" s="504"/>
      <c r="M32" s="280">
        <f t="shared" si="3"/>
        <v>2201.6212762072851</v>
      </c>
      <c r="O32" s="7" t="s">
        <v>59</v>
      </c>
      <c r="P32" s="425">
        <f>(B32*1000)/SUM('Population Figures'!$AI34:$AK34)</f>
        <v>632.0447743916942</v>
      </c>
      <c r="Q32" s="280">
        <f>(C32/SUM('Population Figures'!AI34:AK34))*1000</f>
        <v>13.75265777584039</v>
      </c>
      <c r="R32" s="425">
        <f>(D32/'Population Figures'!AI34)*1000</f>
        <v>1.6834175629836468</v>
      </c>
      <c r="S32" s="425">
        <f>(E32/'Population Figures'!AI34)*1000</f>
        <v>619.55196697033637</v>
      </c>
      <c r="T32" s="280">
        <f>(F32/'Population Figures'!AH34)*1000</f>
        <v>1583.0433298536602</v>
      </c>
      <c r="U32" s="425">
        <f>(G32/'Population Figures'!AJ34)*1000</f>
        <v>51.414749915337424</v>
      </c>
      <c r="V32" s="425">
        <f>(H32/'Population Figures'!AJ34)*1000</f>
        <v>190.55429666101193</v>
      </c>
      <c r="W32" s="425">
        <f>(I32/'Population Figures'!AJ34)*1000</f>
        <v>48.459481937010466</v>
      </c>
      <c r="X32" s="500">
        <f>(J32/'Population Figures'!AJ34)*1000</f>
        <v>8.9867798171346092</v>
      </c>
      <c r="Y32" s="504"/>
      <c r="Z32" s="504"/>
      <c r="AA32" s="501">
        <f>(M32/'Population Figures'!AJ34)*1000</f>
        <v>38.85054044022808</v>
      </c>
    </row>
    <row r="33" spans="1:27">
      <c r="A33" s="7" t="s">
        <v>60</v>
      </c>
      <c r="B33" s="425">
        <f t="shared" si="1"/>
        <v>77463.182758725627</v>
      </c>
      <c r="C33" s="280">
        <f t="shared" ref="C33:E33" si="23">C75*$L$39</f>
        <v>1301.5812616011931</v>
      </c>
      <c r="D33" s="425">
        <f t="shared" si="23"/>
        <v>26.44296016797006</v>
      </c>
      <c r="E33" s="425">
        <f t="shared" si="23"/>
        <v>16798.135288926758</v>
      </c>
      <c r="F33" s="280">
        <f t="shared" si="2"/>
        <v>35959.487721753954</v>
      </c>
      <c r="G33" s="425">
        <f t="shared" si="2"/>
        <v>4940.9160758299613</v>
      </c>
      <c r="H33" s="425">
        <f t="shared" si="2"/>
        <v>11941.444938076258</v>
      </c>
      <c r="I33" s="425">
        <f t="shared" si="2"/>
        <v>2814.7062045461466</v>
      </c>
      <c r="J33" s="425">
        <f t="shared" si="2"/>
        <v>1710.9574597571739</v>
      </c>
      <c r="K33" s="504"/>
      <c r="L33" s="504"/>
      <c r="M33" s="280">
        <f t="shared" si="3"/>
        <v>1969.5108480662145</v>
      </c>
      <c r="O33" s="7" t="s">
        <v>60</v>
      </c>
      <c r="P33" s="425">
        <f>(B33*1000)/SUM('Population Figures'!$AI35:$AK35)</f>
        <v>863.29190637162185</v>
      </c>
      <c r="Q33" s="280">
        <f>(C33/SUM('Population Figures'!AI35:AK35))*1000</f>
        <v>14.505530609619894</v>
      </c>
      <c r="R33" s="425">
        <f>(D33/'Population Figures'!AI35)*1000</f>
        <v>1.4886539530467859</v>
      </c>
      <c r="S33" s="425">
        <f>(E33/'Population Figures'!AI35)*1000</f>
        <v>945.68120750586934</v>
      </c>
      <c r="T33" s="280">
        <f>(F33/'Population Figures'!AH35)*1000</f>
        <v>2317.5746147044315</v>
      </c>
      <c r="U33" s="425">
        <f>(G33/'Population Figures'!AJ35)*1000</f>
        <v>87.876001775512407</v>
      </c>
      <c r="V33" s="425">
        <f>(H33/'Population Figures'!AJ35)*1000</f>
        <v>212.38297118906303</v>
      </c>
      <c r="W33" s="425">
        <f>(I33/'Population Figures'!AJ35)*1000</f>
        <v>50.060580595207675</v>
      </c>
      <c r="X33" s="500">
        <f>(J33/'Population Figures'!AJ35)*1000</f>
        <v>30.430004975583785</v>
      </c>
      <c r="Y33" s="504"/>
      <c r="Z33" s="504"/>
      <c r="AA33" s="501">
        <f>(M33/'Population Figures'!AJ35)*1000</f>
        <v>35.028471669089292</v>
      </c>
    </row>
    <row r="34" spans="1:27">
      <c r="A34" s="7" t="s">
        <v>61</v>
      </c>
      <c r="B34" s="425">
        <f t="shared" si="1"/>
        <v>92780.512278246068</v>
      </c>
      <c r="C34" s="280">
        <f t="shared" ref="C34:E34" si="24">C76*$L$39</f>
        <v>2705.016888293826</v>
      </c>
      <c r="D34" s="425">
        <f t="shared" si="24"/>
        <v>58.762133706600132</v>
      </c>
      <c r="E34" s="425">
        <f t="shared" si="24"/>
        <v>23511.709064905823</v>
      </c>
      <c r="F34" s="280">
        <f t="shared" si="2"/>
        <v>37161.173356053929</v>
      </c>
      <c r="G34" s="425">
        <f t="shared" si="2"/>
        <v>6189.6114170952142</v>
      </c>
      <c r="H34" s="425">
        <f t="shared" si="2"/>
        <v>16057.732404223596</v>
      </c>
      <c r="I34" s="425">
        <f t="shared" si="2"/>
        <v>4040.8760612238693</v>
      </c>
      <c r="J34" s="425">
        <f t="shared" si="2"/>
        <v>418.19051821197098</v>
      </c>
      <c r="K34" s="504"/>
      <c r="L34" s="504"/>
      <c r="M34" s="280">
        <f t="shared" si="3"/>
        <v>2637.440434531236</v>
      </c>
      <c r="O34" s="7" t="s">
        <v>61</v>
      </c>
      <c r="P34" s="425">
        <f>(B34*1000)/SUM('Population Figures'!$AI36:$AK36)</f>
        <v>523.73983786760414</v>
      </c>
      <c r="Q34" s="280">
        <f>(C34/SUM('Population Figures'!AI36:AK36))*1000</f>
        <v>15.269640916137883</v>
      </c>
      <c r="R34" s="425">
        <f>(D34/'Population Figures'!AI36)*1000</f>
        <v>1.4876112935520653</v>
      </c>
      <c r="S34" s="425">
        <f>(E34/'Population Figures'!AI36)*1000</f>
        <v>595.21807207174049</v>
      </c>
      <c r="T34" s="280">
        <f>(F34/'Population Figures'!AH36)*1000</f>
        <v>1416.9052257617695</v>
      </c>
      <c r="U34" s="425">
        <f>(G34/'Population Figures'!AJ36)*1000</f>
        <v>56.004953149188957</v>
      </c>
      <c r="V34" s="425">
        <f>(H34/'Population Figures'!AJ36)*1000</f>
        <v>145.29386263197819</v>
      </c>
      <c r="W34" s="425">
        <f>(I34/'Population Figures'!AJ36)*1000</f>
        <v>36.562727324929369</v>
      </c>
      <c r="X34" s="500">
        <f>(J34/'Population Figures'!AJ36)*1000</f>
        <v>3.7838789548581784</v>
      </c>
      <c r="Y34" s="504"/>
      <c r="Z34" s="504"/>
      <c r="AA34" s="501">
        <f>(M34/'Population Figures'!AJ36)*1000</f>
        <v>23.864135890943963</v>
      </c>
    </row>
    <row r="35" spans="1:27" s="1" customFormat="1">
      <c r="A35" s="52" t="s">
        <v>5</v>
      </c>
      <c r="B35" s="425">
        <f t="shared" si="1"/>
        <v>3776318.1622189092</v>
      </c>
      <c r="C35" s="52">
        <f t="shared" ref="C35:J35" si="25">C77*$L$39</f>
        <v>34292.60186227673</v>
      </c>
      <c r="D35" s="53">
        <f t="shared" si="25"/>
        <v>1554.2584365395735</v>
      </c>
      <c r="E35" s="53">
        <f t="shared" si="25"/>
        <v>840707.8882025379</v>
      </c>
      <c r="F35" s="52">
        <f t="shared" si="25"/>
        <v>1675554.2535678425</v>
      </c>
      <c r="G35" s="53">
        <f t="shared" si="25"/>
        <v>218759.671362931</v>
      </c>
      <c r="H35" s="53">
        <f t="shared" si="25"/>
        <v>674656.87140553212</v>
      </c>
      <c r="I35" s="53">
        <f t="shared" si="25"/>
        <v>153111.59495481243</v>
      </c>
      <c r="J35" s="53">
        <f t="shared" si="25"/>
        <v>67781.141861668148</v>
      </c>
      <c r="K35" s="505"/>
      <c r="L35" s="505"/>
      <c r="M35" s="52">
        <f>M77*$L$39</f>
        <v>105985.34309101422</v>
      </c>
      <c r="O35" s="52" t="s">
        <v>5</v>
      </c>
      <c r="P35" s="425">
        <f>(B35*1000)/SUM('Population Figures'!$AI37:$AK37)</f>
        <v>706.17064893015731</v>
      </c>
      <c r="Q35" s="280">
        <f>(C35/SUM('Population Figures'!AI37:AK37))*1000</f>
        <v>6.4127088529951246</v>
      </c>
      <c r="R35" s="425">
        <f>(D35/'Population Figures'!AI37)*1000</f>
        <v>1.5043399248144553</v>
      </c>
      <c r="S35" s="425">
        <f>(E35/'Population Figures'!AI37)*1000</f>
        <v>813.70666010042544</v>
      </c>
      <c r="T35" s="280">
        <f>(F35/'Population Figures'!AH37)*1000</f>
        <v>1769.5865433060389</v>
      </c>
      <c r="U35" s="425">
        <f>(G35/'Population Figures'!AJ37)*1000</f>
        <v>65.378912359051085</v>
      </c>
      <c r="V35" s="425">
        <f>(H35/'Population Figures'!AJ37)*1000</f>
        <v>201.62917686448893</v>
      </c>
      <c r="W35" s="425">
        <f>(I35/'Population Figures'!AJ37)*1000</f>
        <v>45.759209114452247</v>
      </c>
      <c r="X35" s="500">
        <f>(J35/'Population Figures'!AJ37)*1000</f>
        <v>20.257195056845955</v>
      </c>
      <c r="Y35" s="505"/>
      <c r="Z35" s="505"/>
      <c r="AA35" s="501">
        <f>(M35/'Population Figures'!AJ37)*1000</f>
        <v>31.674971964076281</v>
      </c>
    </row>
    <row r="36" spans="1:27">
      <c r="A36" s="502" t="s">
        <v>93</v>
      </c>
    </row>
    <row r="37" spans="1:27" ht="13.5" thickBot="1">
      <c r="A37" s="503" t="s">
        <v>349</v>
      </c>
      <c r="B37" s="11"/>
      <c r="N37" s="233"/>
      <c r="S37" s="11"/>
      <c r="V37" s="11"/>
      <c r="W37" s="11"/>
      <c r="X37" s="149"/>
    </row>
    <row r="38" spans="1:27">
      <c r="A38" s="557"/>
      <c r="B38" s="558" t="s">
        <v>2</v>
      </c>
      <c r="C38" s="558" t="s">
        <v>3</v>
      </c>
      <c r="D38" s="558" t="s">
        <v>4</v>
      </c>
      <c r="E38" s="558" t="s">
        <v>0</v>
      </c>
      <c r="F38" s="558" t="s">
        <v>1</v>
      </c>
      <c r="G38" s="558" t="s">
        <v>28</v>
      </c>
      <c r="H38" s="558" t="s">
        <v>65</v>
      </c>
      <c r="I38" s="558" t="s">
        <v>267</v>
      </c>
      <c r="J38" s="558" t="s">
        <v>315</v>
      </c>
      <c r="K38" s="559" t="s">
        <v>322</v>
      </c>
      <c r="L38" s="559" t="s">
        <v>369</v>
      </c>
      <c r="N38" s="233"/>
      <c r="S38" s="11"/>
      <c r="V38" s="11"/>
      <c r="W38" s="11"/>
      <c r="X38" s="149"/>
    </row>
    <row r="39" spans="1:27"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0">
        <f>Deflators!$K$2/Deflators!G2</f>
        <v>1.0903639628245232</v>
      </c>
      <c r="H39" s="560">
        <f>Deflators!$K$2/Deflators!H2</f>
        <v>1.0651759021258289</v>
      </c>
      <c r="I39" s="560">
        <f>Deflators!$K$2/Deflators!I2</f>
        <v>1.0341337503213095</v>
      </c>
      <c r="J39" s="560">
        <f>Deflators!$K$2/Deflators!J2</f>
        <v>1.0183193064607987</v>
      </c>
      <c r="K39" s="562">
        <f>Deflators!$K$2/Deflators!K2</f>
        <v>1</v>
      </c>
      <c r="L39" s="562">
        <f>Deflators!$K$2/Deflators!L2</f>
        <v>0.97936889511000225</v>
      </c>
      <c r="N39" s="233"/>
      <c r="S39" s="11"/>
      <c r="V39" s="11"/>
      <c r="W39" s="11"/>
      <c r="X39" s="149"/>
    </row>
    <row r="40" spans="1:27">
      <c r="N40" s="233"/>
      <c r="S40" s="11"/>
      <c r="V40" s="11"/>
      <c r="W40" s="11"/>
      <c r="X40" s="149"/>
    </row>
    <row r="41" spans="1:27">
      <c r="A41" t="s">
        <v>350</v>
      </c>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76.5">
      <c r="A44" s="21" t="s">
        <v>26</v>
      </c>
      <c r="B44" s="10" t="s">
        <v>9</v>
      </c>
      <c r="C44" s="9" t="s">
        <v>10</v>
      </c>
      <c r="D44" s="10" t="s">
        <v>11</v>
      </c>
      <c r="E44" s="10" t="s">
        <v>12</v>
      </c>
      <c r="F44" s="9" t="s">
        <v>14</v>
      </c>
      <c r="G44" s="10" t="s">
        <v>15</v>
      </c>
      <c r="H44" s="10" t="s">
        <v>16</v>
      </c>
      <c r="I44" s="10" t="s">
        <v>17</v>
      </c>
      <c r="J44" s="10" t="s">
        <v>351</v>
      </c>
      <c r="K44" s="9" t="s">
        <v>19</v>
      </c>
      <c r="L44" s="9" t="s">
        <v>20</v>
      </c>
      <c r="M44" s="9" t="s">
        <v>21</v>
      </c>
      <c r="O44" s="21" t="s">
        <v>26</v>
      </c>
      <c r="P44" s="10" t="s">
        <v>9</v>
      </c>
      <c r="Q44" s="9" t="s">
        <v>10</v>
      </c>
      <c r="R44" s="10" t="s">
        <v>11</v>
      </c>
      <c r="S44" s="10" t="s">
        <v>12</v>
      </c>
      <c r="T44" s="9" t="s">
        <v>14</v>
      </c>
      <c r="U44" s="10" t="s">
        <v>15</v>
      </c>
      <c r="V44" s="10" t="s">
        <v>16</v>
      </c>
      <c r="W44" s="10" t="s">
        <v>17</v>
      </c>
      <c r="X44" s="10" t="s">
        <v>351</v>
      </c>
      <c r="Y44" s="9" t="s">
        <v>19</v>
      </c>
      <c r="Z44" s="9" t="s">
        <v>20</v>
      </c>
      <c r="AA44" s="9" t="s">
        <v>21</v>
      </c>
    </row>
    <row r="45" spans="1:27">
      <c r="A45" s="7" t="s">
        <v>31</v>
      </c>
      <c r="B45" s="425">
        <v>168334</v>
      </c>
      <c r="C45" s="280">
        <v>745</v>
      </c>
      <c r="D45" s="425">
        <v>61</v>
      </c>
      <c r="E45" s="425">
        <v>38143</v>
      </c>
      <c r="F45" s="280">
        <v>70861</v>
      </c>
      <c r="G45" s="425">
        <v>12281</v>
      </c>
      <c r="H45" s="425">
        <v>30331</v>
      </c>
      <c r="I45" s="425">
        <v>8345</v>
      </c>
      <c r="J45" s="425">
        <v>2646</v>
      </c>
      <c r="K45" s="504"/>
      <c r="L45" s="504"/>
      <c r="M45" s="280">
        <v>4921</v>
      </c>
      <c r="N45" s="233"/>
      <c r="O45" s="7" t="s">
        <v>31</v>
      </c>
      <c r="P45" s="425">
        <f>(B45*1000)/SUM('Population Figures'!$AI5:$AK5)</f>
        <v>735.11507052709726</v>
      </c>
      <c r="Q45" s="280">
        <f>(C45/SUM('Population Figures'!AI5:AK5))*1000</f>
        <v>3.2534171797895102</v>
      </c>
      <c r="R45" s="425">
        <f>(D45/'Population Figures'!AI5)*1000</f>
        <v>1.6227720138334663</v>
      </c>
      <c r="S45" s="425">
        <f>(E45/'Population Figures'!AI5)*1000</f>
        <v>1014.7113594040968</v>
      </c>
      <c r="T45" s="280">
        <f>(F45/'Population Figures'!AH5)*1000</f>
        <v>2101.8894788360572</v>
      </c>
      <c r="U45" s="425">
        <f>(G45/'Population Figures'!AJ5)*1000</f>
        <v>78.153736500805024</v>
      </c>
      <c r="V45" s="425">
        <f>(H45/'Population Figures'!AJ5)*1000</f>
        <v>193.02019231381135</v>
      </c>
      <c r="W45" s="425">
        <f>(I45/'Population Figures'!AJ5)*1000</f>
        <v>53.105848961747242</v>
      </c>
      <c r="X45" s="500">
        <f>(J45/'Population Figures'!AJ5)*1000</f>
        <v>16.83859512915317</v>
      </c>
      <c r="Y45" s="504"/>
      <c r="Z45" s="504"/>
      <c r="AA45" s="501">
        <f>(M45/'Population Figures'!AJ5)*1000</f>
        <v>31.316223216388035</v>
      </c>
    </row>
    <row r="46" spans="1:27">
      <c r="A46" s="7" t="s">
        <v>32</v>
      </c>
      <c r="B46" s="425">
        <v>148795</v>
      </c>
      <c r="C46" s="280">
        <v>1084</v>
      </c>
      <c r="D46" s="425">
        <v>0</v>
      </c>
      <c r="E46" s="425">
        <v>22855</v>
      </c>
      <c r="F46" s="280">
        <v>72048</v>
      </c>
      <c r="G46" s="425">
        <v>1218</v>
      </c>
      <c r="H46" s="425">
        <v>41469</v>
      </c>
      <c r="I46" s="425">
        <v>4926</v>
      </c>
      <c r="J46" s="425">
        <v>2322</v>
      </c>
      <c r="K46" s="504"/>
      <c r="L46" s="504"/>
      <c r="M46" s="280">
        <v>2873</v>
      </c>
      <c r="N46" s="233"/>
      <c r="O46" s="7" t="s">
        <v>32</v>
      </c>
      <c r="P46" s="425">
        <f>(B46*1000)/SUM('Population Figures'!$AI6:$AK6)</f>
        <v>571.19001919385801</v>
      </c>
      <c r="Q46" s="280">
        <f>(C46/SUM('Population Figures'!AI6:AK6))*1000</f>
        <v>4.1612284069097889</v>
      </c>
      <c r="R46" s="425">
        <f>(D46/'Population Figures'!AI6)*1000</f>
        <v>0</v>
      </c>
      <c r="S46" s="425">
        <f>(E46/'Population Figures'!AI6)*1000</f>
        <v>417.4581719880178</v>
      </c>
      <c r="T46" s="280">
        <f>(F46/'Population Figures'!AH6)*1000</f>
        <v>1623.4339792699416</v>
      </c>
      <c r="U46" s="425">
        <f>(G46/'Population Figures'!AJ6)*1000</f>
        <v>7.6142131979695433</v>
      </c>
      <c r="V46" s="425">
        <f>(H46/'Population Figures'!AJ6)*1000</f>
        <v>259.23957890525367</v>
      </c>
      <c r="W46" s="425">
        <f>(I46/'Population Figures'!AJ6)*1000</f>
        <v>30.794428746467954</v>
      </c>
      <c r="X46" s="500">
        <f>(J46/'Population Figures'!AJ6)*1000</f>
        <v>14.515766047360657</v>
      </c>
      <c r="Y46" s="504"/>
      <c r="Z46" s="504"/>
      <c r="AA46" s="501">
        <f>(M46/'Population Figures'!AJ6)*1000</f>
        <v>17.960291065489734</v>
      </c>
    </row>
    <row r="47" spans="1:27">
      <c r="A47" s="7" t="s">
        <v>33</v>
      </c>
      <c r="B47" s="425">
        <v>75640</v>
      </c>
      <c r="C47" s="280">
        <v>299</v>
      </c>
      <c r="D47" s="425">
        <v>46</v>
      </c>
      <c r="E47" s="425">
        <v>14881</v>
      </c>
      <c r="F47" s="280">
        <v>40814</v>
      </c>
      <c r="G47" s="425">
        <v>2976</v>
      </c>
      <c r="H47" s="425">
        <v>11722</v>
      </c>
      <c r="I47" s="425">
        <v>2193</v>
      </c>
      <c r="J47" s="425">
        <v>983</v>
      </c>
      <c r="K47" s="504"/>
      <c r="L47" s="504"/>
      <c r="M47" s="280">
        <v>1726</v>
      </c>
      <c r="N47" s="233"/>
      <c r="O47" s="7" t="s">
        <v>33</v>
      </c>
      <c r="P47" s="425">
        <f>(B47*1000)/SUM('Population Figures'!$AI7:$AK7)</f>
        <v>648.37990742328134</v>
      </c>
      <c r="Q47" s="280">
        <f>(C47/SUM('Population Figures'!AI7:AK7))*1000</f>
        <v>2.5630036002057262</v>
      </c>
      <c r="R47" s="425">
        <f>(D47/'Population Figures'!AI7)*1000</f>
        <v>2.0434454266802895</v>
      </c>
      <c r="S47" s="425">
        <f>(E47/'Population Figures'!AI7)*1000</f>
        <v>661.05459553107369</v>
      </c>
      <c r="T47" s="280">
        <f>(F47/'Population Figures'!AH7)*1000</f>
        <v>1635.176282051282</v>
      </c>
      <c r="U47" s="425">
        <f>(G47/'Population Figures'!AJ7)*1000</f>
        <v>43.435110047288227</v>
      </c>
      <c r="V47" s="425">
        <f>(H47/'Population Figures'!AJ7)*1000</f>
        <v>171.0841263354545</v>
      </c>
      <c r="W47" s="425">
        <f>(I47/'Population Figures'!AJ7)*1000</f>
        <v>32.007122423959366</v>
      </c>
      <c r="X47" s="500">
        <f>(J47/'Population Figures'!AJ7)*1000</f>
        <v>14.347013836184249</v>
      </c>
      <c r="Y47" s="504"/>
      <c r="Z47" s="504"/>
      <c r="AA47" s="501">
        <f>(M47/'Population Figures'!AJ7)*1000</f>
        <v>25.191196216942028</v>
      </c>
    </row>
    <row r="48" spans="1:27">
      <c r="A48" s="7" t="s">
        <v>34</v>
      </c>
      <c r="B48" s="425">
        <v>66283</v>
      </c>
      <c r="C48" s="280">
        <v>586</v>
      </c>
      <c r="D48" s="425">
        <v>40</v>
      </c>
      <c r="E48" s="425">
        <v>11209</v>
      </c>
      <c r="F48" s="280">
        <v>34154</v>
      </c>
      <c r="G48" s="425">
        <v>2276</v>
      </c>
      <c r="H48" s="425">
        <v>14460</v>
      </c>
      <c r="I48" s="425">
        <v>2848</v>
      </c>
      <c r="J48" s="425">
        <v>607</v>
      </c>
      <c r="K48" s="504"/>
      <c r="L48" s="504"/>
      <c r="M48" s="280">
        <v>103</v>
      </c>
      <c r="N48" s="233"/>
      <c r="O48" s="7" t="s">
        <v>34</v>
      </c>
      <c r="P48" s="425">
        <f>(B48*1000)/SUM('Population Figures'!$AI8:$AK8)</f>
        <v>756.13734884782116</v>
      </c>
      <c r="Q48" s="280">
        <f>(C48/SUM('Population Figures'!AI8:AK8))*1000</f>
        <v>6.6849190052475471</v>
      </c>
      <c r="R48" s="425">
        <f>(D48/'Population Figures'!AI8)*1000</f>
        <v>2.56</v>
      </c>
      <c r="S48" s="425">
        <f>(E48/'Population Figures'!AI8)*1000</f>
        <v>717.37599999999998</v>
      </c>
      <c r="T48" s="280">
        <f>(F48/'Population Figures'!AH8)*1000</f>
        <v>1656.3530552861298</v>
      </c>
      <c r="U48" s="425">
        <f>(G48/'Population Figures'!AJ8)*1000</f>
        <v>44.694931563340731</v>
      </c>
      <c r="V48" s="425">
        <f>(H48/'Population Figures'!AJ8)*1000</f>
        <v>283.95813286727019</v>
      </c>
      <c r="W48" s="425">
        <f>(I48/'Population Figures'!AJ8)*1000</f>
        <v>55.927576929874519</v>
      </c>
      <c r="X48" s="500">
        <f>(J48/'Population Figures'!AJ8)*1000</f>
        <v>11.919957583017498</v>
      </c>
      <c r="Y48" s="504"/>
      <c r="Z48" s="504"/>
      <c r="AA48" s="501">
        <f>(M48/'Population Figures'!AJ8)*1000</f>
        <v>2.0226616656520626</v>
      </c>
    </row>
    <row r="49" spans="1:27">
      <c r="A49" s="7" t="s">
        <v>35</v>
      </c>
      <c r="B49" s="425">
        <v>39761</v>
      </c>
      <c r="C49" s="280">
        <v>803</v>
      </c>
      <c r="D49" s="425">
        <v>20</v>
      </c>
      <c r="E49" s="425">
        <v>10217</v>
      </c>
      <c r="F49" s="280">
        <v>16679</v>
      </c>
      <c r="G49" s="425">
        <v>3467</v>
      </c>
      <c r="H49" s="425">
        <v>4104</v>
      </c>
      <c r="I49" s="425">
        <v>1934</v>
      </c>
      <c r="J49" s="425">
        <v>562</v>
      </c>
      <c r="K49" s="504"/>
      <c r="L49" s="504"/>
      <c r="M49" s="280">
        <v>1975</v>
      </c>
      <c r="N49" s="233"/>
      <c r="O49" s="7" t="s">
        <v>35</v>
      </c>
      <c r="P49" s="425">
        <f>(B49*1000)/SUM('Population Figures'!$AI9:$AK9)</f>
        <v>776.73373705801919</v>
      </c>
      <c r="Q49" s="280">
        <f>(C49/SUM('Population Figures'!AI9:AK9))*1000</f>
        <v>15.686657550302792</v>
      </c>
      <c r="R49" s="425">
        <f>(D49/'Population Figures'!AI9)*1000</f>
        <v>1.9409937888198758</v>
      </c>
      <c r="S49" s="425">
        <f>(E49/'Population Figures'!AI9)*1000</f>
        <v>991.55667701863354</v>
      </c>
      <c r="T49" s="280">
        <f>(F49/'Population Figures'!AH9)*1000</f>
        <v>1849.3181062202018</v>
      </c>
      <c r="U49" s="425">
        <f>(G49/'Population Figures'!AJ9)*1000</f>
        <v>109.86468929239155</v>
      </c>
      <c r="V49" s="425">
        <f>(H49/'Population Figures'!AJ9)*1000</f>
        <v>130.05038501758722</v>
      </c>
      <c r="W49" s="425">
        <f>(I49/'Population Figures'!AJ9)*1000</f>
        <v>61.285927052634918</v>
      </c>
      <c r="X49" s="500">
        <f>(J49/'Population Figures'!AJ9)*1000</f>
        <v>17.809043952213454</v>
      </c>
      <c r="Y49" s="504"/>
      <c r="Z49" s="504"/>
      <c r="AA49" s="501">
        <f>(M49/'Population Figures'!AJ9)*1000</f>
        <v>62.585163355198539</v>
      </c>
    </row>
    <row r="50" spans="1:27">
      <c r="A50" s="7" t="s">
        <v>36</v>
      </c>
      <c r="B50" s="425">
        <v>115674</v>
      </c>
      <c r="C50" s="280">
        <v>3251</v>
      </c>
      <c r="D50" s="425">
        <v>32</v>
      </c>
      <c r="E50" s="425">
        <v>20561</v>
      </c>
      <c r="F50" s="280">
        <v>54119</v>
      </c>
      <c r="G50" s="425">
        <v>6952</v>
      </c>
      <c r="H50" s="425">
        <v>22457</v>
      </c>
      <c r="I50" s="425">
        <v>4972</v>
      </c>
      <c r="J50" s="425">
        <v>384</v>
      </c>
      <c r="K50" s="504"/>
      <c r="L50" s="504"/>
      <c r="M50" s="280">
        <v>2946</v>
      </c>
      <c r="N50" s="233"/>
      <c r="O50" s="7" t="s">
        <v>36</v>
      </c>
      <c r="P50" s="425">
        <f>(B50*1000)/SUM('Population Figures'!$AI10:$AK10)</f>
        <v>771.46858743497398</v>
      </c>
      <c r="Q50" s="280">
        <f>(C50/SUM('Population Figures'!AI10:AK10))*1000</f>
        <v>21.682006135787649</v>
      </c>
      <c r="R50" s="425">
        <f>(D50/'Population Figures'!AI10)*1000</f>
        <v>1.1706603255899031</v>
      </c>
      <c r="S50" s="425">
        <f>(E50/'Population Figures'!AI10)*1000</f>
        <v>752.18584232668741</v>
      </c>
      <c r="T50" s="280">
        <f>(F50/'Population Figures'!AH10)*1000</f>
        <v>1544.9329146445903</v>
      </c>
      <c r="U50" s="425">
        <f>(G50/'Population Figures'!AJ10)*1000</f>
        <v>80.055274067250124</v>
      </c>
      <c r="V50" s="425">
        <f>(H50/'Population Figures'!AJ10)*1000</f>
        <v>258.60202671579918</v>
      </c>
      <c r="W50" s="425">
        <f>(I50/'Population Figures'!AJ10)*1000</f>
        <v>57.254721326577616</v>
      </c>
      <c r="X50" s="500">
        <f>(J50/'Population Figures'!AJ10)*1000</f>
        <v>4.4219253800092124</v>
      </c>
      <c r="Y50" s="504"/>
      <c r="Z50" s="504"/>
      <c r="AA50" s="501">
        <f>(M50/'Population Figures'!AJ10)*1000</f>
        <v>33.924458774758179</v>
      </c>
    </row>
    <row r="51" spans="1:27">
      <c r="A51" s="7" t="s">
        <v>37</v>
      </c>
      <c r="B51" s="425">
        <v>123789</v>
      </c>
      <c r="C51" s="280">
        <v>813</v>
      </c>
      <c r="D51" s="425">
        <v>112</v>
      </c>
      <c r="E51" s="425">
        <v>30364</v>
      </c>
      <c r="F51" s="280">
        <v>51941</v>
      </c>
      <c r="G51" s="425">
        <v>9469</v>
      </c>
      <c r="H51" s="425">
        <v>20418</v>
      </c>
      <c r="I51" s="425">
        <v>4518</v>
      </c>
      <c r="J51" s="425">
        <v>1453</v>
      </c>
      <c r="K51" s="504"/>
      <c r="L51" s="504"/>
      <c r="M51" s="280">
        <v>4701</v>
      </c>
      <c r="N51" s="233"/>
      <c r="O51" s="7" t="s">
        <v>37</v>
      </c>
      <c r="P51" s="425">
        <f>(B51*1000)/SUM('Population Figures'!$AI11:$AK11)</f>
        <v>834.9453662484824</v>
      </c>
      <c r="Q51" s="280">
        <f>(C51/SUM('Population Figures'!AI11:AK11))*1000</f>
        <v>5.4836098745447188</v>
      </c>
      <c r="R51" s="425">
        <f>(D51/'Population Figures'!AI11)*1000</f>
        <v>4.1253821503554455</v>
      </c>
      <c r="S51" s="425">
        <f>(E51/'Population Figures'!AI11)*1000</f>
        <v>1118.420567976721</v>
      </c>
      <c r="T51" s="280">
        <f>(F51/'Population Figures'!AH11)*1000</f>
        <v>2041.4652360177654</v>
      </c>
      <c r="U51" s="425">
        <f>(G51/'Population Figures'!AJ11)*1000</f>
        <v>99.344279494308353</v>
      </c>
      <c r="V51" s="425">
        <f>(H51/'Population Figures'!AJ11)*1000</f>
        <v>214.21602056339506</v>
      </c>
      <c r="W51" s="425">
        <f>(I51/'Population Figures'!AJ11)*1000</f>
        <v>47.400723915438284</v>
      </c>
      <c r="X51" s="500">
        <f>(J51/'Population Figures'!AJ11)*1000</f>
        <v>15.244190316319573</v>
      </c>
      <c r="Y51" s="504"/>
      <c r="Z51" s="504"/>
      <c r="AA51" s="501">
        <f>(M51/'Population Figures'!AJ11)*1000</f>
        <v>49.320673556103444</v>
      </c>
    </row>
    <row r="52" spans="1:27">
      <c r="A52" s="7" t="s">
        <v>38</v>
      </c>
      <c r="B52" s="425">
        <v>95705</v>
      </c>
      <c r="C52" s="280">
        <v>1596</v>
      </c>
      <c r="D52" s="425">
        <v>27</v>
      </c>
      <c r="E52" s="425">
        <v>24139</v>
      </c>
      <c r="F52" s="280">
        <v>40738</v>
      </c>
      <c r="G52" s="425">
        <v>5083</v>
      </c>
      <c r="H52" s="425">
        <v>17920</v>
      </c>
      <c r="I52" s="425">
        <v>3182</v>
      </c>
      <c r="J52" s="425">
        <v>853</v>
      </c>
      <c r="K52" s="504"/>
      <c r="L52" s="504"/>
      <c r="M52" s="280">
        <v>2167</v>
      </c>
      <c r="N52" s="233"/>
      <c r="O52" s="7" t="s">
        <v>38</v>
      </c>
      <c r="P52" s="425">
        <f>(B52*1000)/SUM('Population Figures'!$AI12:$AK12)</f>
        <v>783.50388866148182</v>
      </c>
      <c r="Q52" s="280">
        <f>(C52/SUM('Population Figures'!AI12:AK12))*1000</f>
        <v>13.065902578796562</v>
      </c>
      <c r="R52" s="425">
        <f>(D52/'Population Figures'!AI12)*1000</f>
        <v>1.1207970112079702</v>
      </c>
      <c r="S52" s="425">
        <f>(E52/'Population Figures'!AI12)*1000</f>
        <v>1002.0340390203404</v>
      </c>
      <c r="T52" s="280">
        <f>(F52/'Population Figures'!AH12)*1000</f>
        <v>1786.9895161644076</v>
      </c>
      <c r="U52" s="425">
        <f>(G52/'Population Figures'!AJ12)*1000</f>
        <v>67.904615590140935</v>
      </c>
      <c r="V52" s="425">
        <f>(H52/'Population Figures'!AJ12)*1000</f>
        <v>239.39616592078016</v>
      </c>
      <c r="W52" s="425">
        <f>(I52/'Population Figures'!AJ12)*1000</f>
        <v>42.508850444192106</v>
      </c>
      <c r="X52" s="500">
        <f>(J52/'Population Figures'!AJ12)*1000</f>
        <v>11.395364371117495</v>
      </c>
      <c r="Y52" s="504"/>
      <c r="Z52" s="504"/>
      <c r="AA52" s="501">
        <f>(M52/'Population Figures'!AJ12)*1000</f>
        <v>28.949301983835415</v>
      </c>
    </row>
    <row r="53" spans="1:27">
      <c r="A53" s="7" t="s">
        <v>39</v>
      </c>
      <c r="B53" s="425">
        <v>79725</v>
      </c>
      <c r="C53" s="280">
        <v>1013</v>
      </c>
      <c r="D53" s="425">
        <v>3</v>
      </c>
      <c r="E53" s="425">
        <v>10873</v>
      </c>
      <c r="F53" s="280">
        <v>41807</v>
      </c>
      <c r="G53" s="425">
        <v>4724</v>
      </c>
      <c r="H53" s="425">
        <v>16238</v>
      </c>
      <c r="I53" s="425">
        <v>3645</v>
      </c>
      <c r="J53" s="425">
        <v>1091</v>
      </c>
      <c r="K53" s="504"/>
      <c r="L53" s="504"/>
      <c r="M53" s="280">
        <v>331</v>
      </c>
      <c r="N53" s="233"/>
      <c r="O53" s="7" t="s">
        <v>39</v>
      </c>
      <c r="P53" s="425">
        <f>(B53*1000)/SUM('Population Figures'!$AI13:$AK13)</f>
        <v>746.97835660076828</v>
      </c>
      <c r="Q53" s="280">
        <f>(C53/SUM('Population Figures'!AI13:AK13))*1000</f>
        <v>9.491239576501453</v>
      </c>
      <c r="R53" s="425">
        <f>(D53/'Population Figures'!AI13)*1000</f>
        <v>0.14253812894949397</v>
      </c>
      <c r="S53" s="425">
        <f>(E53/'Population Figures'!AI13)*1000</f>
        <v>516.60569202261604</v>
      </c>
      <c r="T53" s="280">
        <f>(F53/'Population Figures'!AH13)*1000</f>
        <v>1899.9727322305037</v>
      </c>
      <c r="U53" s="425">
        <f>(G53/'Population Figures'!AJ13)*1000</f>
        <v>74.913969457175028</v>
      </c>
      <c r="V53" s="425">
        <f>(H53/'Population Figures'!AJ13)*1000</f>
        <v>257.50487638560713</v>
      </c>
      <c r="W53" s="425">
        <f>(I53/'Population Figures'!AJ13)*1000</f>
        <v>57.803009879636534</v>
      </c>
      <c r="X53" s="500">
        <f>(J53/'Population Figures'!AJ13)*1000</f>
        <v>17.301257552450881</v>
      </c>
      <c r="Y53" s="504"/>
      <c r="Z53" s="504"/>
      <c r="AA53" s="501">
        <f>(M53/'Population Figures'!AJ13)*1000</f>
        <v>5.2490524746665814</v>
      </c>
    </row>
    <row r="54" spans="1:27">
      <c r="A54" s="7" t="s">
        <v>40</v>
      </c>
      <c r="B54" s="425">
        <v>61602</v>
      </c>
      <c r="C54" s="280">
        <v>1509</v>
      </c>
      <c r="D54" s="425">
        <v>3</v>
      </c>
      <c r="E54" s="425">
        <v>12888</v>
      </c>
      <c r="F54" s="280">
        <v>25758</v>
      </c>
      <c r="G54" s="425">
        <v>4529</v>
      </c>
      <c r="H54" s="425">
        <v>14908</v>
      </c>
      <c r="I54" s="425">
        <v>1702</v>
      </c>
      <c r="J54" s="425">
        <v>217</v>
      </c>
      <c r="K54" s="504"/>
      <c r="L54" s="504"/>
      <c r="M54" s="280">
        <v>88</v>
      </c>
      <c r="N54" s="233"/>
      <c r="O54" s="7" t="s">
        <v>40</v>
      </c>
      <c r="P54" s="425">
        <f>(B54*1000)/SUM('Population Figures'!$AI14:$AK14)</f>
        <v>603.64527192552669</v>
      </c>
      <c r="Q54" s="280">
        <f>(C54/SUM('Population Figures'!AI14:AK14))*1000</f>
        <v>14.786869181773641</v>
      </c>
      <c r="R54" s="425">
        <f>(D54/'Population Figures'!AI14)*1000</f>
        <v>0.1409840688002256</v>
      </c>
      <c r="S54" s="425">
        <f>(E54/'Population Figures'!AI14)*1000</f>
        <v>605.66755956576912</v>
      </c>
      <c r="T54" s="280">
        <f>(F54/'Population Figures'!AH14)*1000</f>
        <v>1348.586387434555</v>
      </c>
      <c r="U54" s="425">
        <f>(G54/'Population Figures'!AJ14)*1000</f>
        <v>73.912688698490413</v>
      </c>
      <c r="V54" s="425">
        <f>(H54/'Population Figures'!AJ14)*1000</f>
        <v>243.29661362709098</v>
      </c>
      <c r="W54" s="425">
        <f>(I54/'Population Figures'!AJ14)*1000</f>
        <v>27.776417788657692</v>
      </c>
      <c r="X54" s="500">
        <f>(J54/'Population Figures'!AJ14)*1000</f>
        <v>3.5414116687066501</v>
      </c>
      <c r="Y54" s="504"/>
      <c r="Z54" s="504"/>
      <c r="AA54" s="501">
        <f>(M54/'Population Figures'!AJ14)*1000</f>
        <v>1.4361485108119136</v>
      </c>
    </row>
    <row r="55" spans="1:27">
      <c r="A55" s="7" t="s">
        <v>41</v>
      </c>
      <c r="B55" s="425">
        <v>57350</v>
      </c>
      <c r="C55" s="280">
        <v>1264</v>
      </c>
      <c r="D55" s="425">
        <v>0</v>
      </c>
      <c r="E55" s="425">
        <v>8473</v>
      </c>
      <c r="F55" s="280">
        <v>27219</v>
      </c>
      <c r="G55" s="425">
        <v>3342</v>
      </c>
      <c r="H55" s="425">
        <v>12287</v>
      </c>
      <c r="I55" s="425">
        <v>2528</v>
      </c>
      <c r="J55" s="425">
        <v>985</v>
      </c>
      <c r="K55" s="504"/>
      <c r="L55" s="504"/>
      <c r="M55" s="280">
        <v>1252</v>
      </c>
      <c r="N55" s="233"/>
      <c r="O55" s="7" t="s">
        <v>41</v>
      </c>
      <c r="P55" s="425">
        <f>(B55*1000)/SUM('Population Figures'!$AI15:$AK15)</f>
        <v>620.80536912751677</v>
      </c>
      <c r="Q55" s="280">
        <f>(C55/SUM('Population Figures'!AI15:AK15))*1000</f>
        <v>13.682615284693656</v>
      </c>
      <c r="R55" s="425">
        <f>(D55/'Population Figures'!AI15)*1000</f>
        <v>0</v>
      </c>
      <c r="S55" s="425">
        <f>(E55/'Population Figures'!AI15)*1000</f>
        <v>408.67216514734963</v>
      </c>
      <c r="T55" s="280">
        <f>(F55/'Population Figures'!AH15)*1000</f>
        <v>1576.6334569045412</v>
      </c>
      <c r="U55" s="425">
        <f>(G55/'Population Figures'!AJ15)*1000</f>
        <v>61.937062159457355</v>
      </c>
      <c r="V55" s="425">
        <f>(H55/'Population Figures'!AJ15)*1000</f>
        <v>227.714148041069</v>
      </c>
      <c r="W55" s="425">
        <f>(I55/'Population Figures'!AJ15)*1000</f>
        <v>46.851254679565585</v>
      </c>
      <c r="X55" s="500">
        <f>(J55/'Population Figures'!AJ15)*1000</f>
        <v>18.254939026650355</v>
      </c>
      <c r="Y55" s="504"/>
      <c r="Z55" s="504"/>
      <c r="AA55" s="501">
        <f>(M55/'Population Figures'!AJ15)*1000</f>
        <v>23.203232143519035</v>
      </c>
    </row>
    <row r="56" spans="1:27">
      <c r="A56" s="7" t="s">
        <v>140</v>
      </c>
      <c r="B56" s="425">
        <v>360123</v>
      </c>
      <c r="C56" s="280">
        <v>2117</v>
      </c>
      <c r="D56" s="425">
        <v>238</v>
      </c>
      <c r="E56" s="425">
        <v>94346</v>
      </c>
      <c r="F56" s="280">
        <v>143563</v>
      </c>
      <c r="G56" s="425">
        <v>23013</v>
      </c>
      <c r="H56" s="425">
        <v>62258</v>
      </c>
      <c r="I56" s="425">
        <v>14019</v>
      </c>
      <c r="J56" s="425">
        <v>7431</v>
      </c>
      <c r="K56" s="504"/>
      <c r="L56" s="504"/>
      <c r="M56" s="280">
        <v>13138</v>
      </c>
      <c r="N56" s="233"/>
      <c r="O56" s="7" t="s">
        <v>140</v>
      </c>
      <c r="P56" s="425">
        <f>(B56*1000)/SUM('Population Figures'!$AI16:$AK16)</f>
        <v>730.94706503206953</v>
      </c>
      <c r="Q56" s="280">
        <f>(C56/SUM('Population Figures'!AI16:AK16))*1000</f>
        <v>4.2969067142973127</v>
      </c>
      <c r="R56" s="425">
        <f>(D56/'Population Figures'!AI16)*1000</f>
        <v>2.8140703517587942</v>
      </c>
      <c r="S56" s="425">
        <f>(E56/'Population Figures'!AI16)*1000</f>
        <v>1115.5305941472068</v>
      </c>
      <c r="T56" s="280">
        <f>(F56/'Population Figures'!AH16)*1000</f>
        <v>1987.4162467467745</v>
      </c>
      <c r="U56" s="425">
        <f>(G56/'Population Figures'!AJ16)*1000</f>
        <v>68.840189532629765</v>
      </c>
      <c r="V56" s="425">
        <f>(H56/'Population Figures'!AJ16)*1000</f>
        <v>186.23614999880346</v>
      </c>
      <c r="W56" s="425">
        <f>(I56/'Population Figures'!AJ16)*1000</f>
        <v>41.935889152128652</v>
      </c>
      <c r="X56" s="500">
        <f>(J56/'Population Figures'!AJ16)*1000</f>
        <v>22.228803216311295</v>
      </c>
      <c r="Y56" s="504"/>
      <c r="Z56" s="504"/>
      <c r="AA56" s="501">
        <f>(M56/'Population Figures'!AJ16)*1000</f>
        <v>39.300500155550772</v>
      </c>
    </row>
    <row r="57" spans="1:27">
      <c r="A57" s="7" t="s">
        <v>42</v>
      </c>
      <c r="B57" s="425">
        <v>27232</v>
      </c>
      <c r="C57" s="280">
        <v>545</v>
      </c>
      <c r="D57" s="425">
        <v>24</v>
      </c>
      <c r="E57" s="425">
        <v>3676</v>
      </c>
      <c r="F57" s="280">
        <v>16972</v>
      </c>
      <c r="G57" s="425">
        <v>1326</v>
      </c>
      <c r="H57" s="425">
        <v>3512</v>
      </c>
      <c r="I57" s="425">
        <v>698</v>
      </c>
      <c r="J57" s="425">
        <v>146</v>
      </c>
      <c r="K57" s="504"/>
      <c r="L57" s="504"/>
      <c r="M57" s="280">
        <v>333</v>
      </c>
      <c r="N57" s="233"/>
      <c r="O57" s="7" t="s">
        <v>42</v>
      </c>
      <c r="P57" s="425">
        <f>(B57*1000)/SUM('Population Figures'!$AI17:$AK17)</f>
        <v>999.33944954128435</v>
      </c>
      <c r="Q57" s="280">
        <f>(C57/SUM('Population Figures'!AI17:AK17))*1000</f>
        <v>20</v>
      </c>
      <c r="R57" s="425">
        <f>(D57/'Population Figures'!AI17)*1000</f>
        <v>4.7666335650446872</v>
      </c>
      <c r="S57" s="425">
        <f>(E57/'Population Figures'!AI17)*1000</f>
        <v>730.08937437934458</v>
      </c>
      <c r="T57" s="280">
        <f>(F57/'Population Figures'!AH17)*1000</f>
        <v>2708.5860197893394</v>
      </c>
      <c r="U57" s="425">
        <f>(G57/'Population Figures'!AJ17)*1000</f>
        <v>84.08903544929926</v>
      </c>
      <c r="V57" s="425">
        <f>(H57/'Population Figures'!AJ17)*1000</f>
        <v>222.71545437250302</v>
      </c>
      <c r="W57" s="425">
        <f>(I57/'Population Figures'!AJ17)*1000</f>
        <v>44.264062400913183</v>
      </c>
      <c r="X57" s="500">
        <f>(J57/'Population Figures'!AJ17)*1000</f>
        <v>9.2586720781279723</v>
      </c>
      <c r="Y57" s="504"/>
      <c r="Z57" s="504"/>
      <c r="AA57" s="501">
        <f>(M57/'Population Figures'!AJ17)*1000</f>
        <v>21.117382205593252</v>
      </c>
    </row>
    <row r="58" spans="1:27">
      <c r="A58" s="7" t="s">
        <v>43</v>
      </c>
      <c r="B58" s="425">
        <v>109767</v>
      </c>
      <c r="C58" s="280">
        <v>545</v>
      </c>
      <c r="D58" s="425">
        <v>64</v>
      </c>
      <c r="E58" s="425">
        <v>24516</v>
      </c>
      <c r="F58" s="280">
        <v>50840</v>
      </c>
      <c r="G58" s="425">
        <v>8134</v>
      </c>
      <c r="H58" s="425">
        <v>15890</v>
      </c>
      <c r="I58" s="425">
        <v>5551</v>
      </c>
      <c r="J58" s="425">
        <v>688</v>
      </c>
      <c r="K58" s="504"/>
      <c r="L58" s="504"/>
      <c r="M58" s="280">
        <v>3539</v>
      </c>
      <c r="N58" s="233"/>
      <c r="O58" s="7" t="s">
        <v>43</v>
      </c>
      <c r="P58" s="425">
        <f>(B58*1000)/SUM('Population Figures'!$AI18:$AK18)</f>
        <v>696.31438721136772</v>
      </c>
      <c r="Q58" s="280">
        <f>(C58/SUM('Population Figures'!AI18:AK18))*1000</f>
        <v>3.4572443542248159</v>
      </c>
      <c r="R58" s="425">
        <f>(D58/'Population Figures'!AI18)*1000</f>
        <v>2.0044473675968555</v>
      </c>
      <c r="S58" s="425">
        <f>(E58/'Population Figures'!AI18)*1000</f>
        <v>767.8286197500704</v>
      </c>
      <c r="T58" s="280">
        <f>(F58/'Population Figures'!AH18)*1000</f>
        <v>1869.5300433919247</v>
      </c>
      <c r="U58" s="425">
        <f>(G58/'Population Figures'!AJ18)*1000</f>
        <v>83.212276214833764</v>
      </c>
      <c r="V58" s="425">
        <f>(H58/'Population Figures'!AJ18)*1000</f>
        <v>162.55754475703324</v>
      </c>
      <c r="W58" s="425">
        <f>(I58/'Population Figures'!AJ18)*1000</f>
        <v>56.787723785166243</v>
      </c>
      <c r="X58" s="500">
        <f>(J58/'Population Figures'!AJ18)*1000</f>
        <v>7.038363171355499</v>
      </c>
      <c r="Y58" s="504"/>
      <c r="Z58" s="504"/>
      <c r="AA58" s="501">
        <f>(M58/'Population Figures'!AJ18)*1000</f>
        <v>36.204603580562662</v>
      </c>
    </row>
    <row r="59" spans="1:27">
      <c r="A59" s="7" t="s">
        <v>44</v>
      </c>
      <c r="B59" s="425">
        <v>252477</v>
      </c>
      <c r="C59" s="280">
        <v>594</v>
      </c>
      <c r="D59" s="425">
        <v>87</v>
      </c>
      <c r="E59" s="425">
        <v>50647</v>
      </c>
      <c r="F59" s="280">
        <v>104226</v>
      </c>
      <c r="G59" s="425">
        <v>21493</v>
      </c>
      <c r="H59" s="425">
        <v>54864</v>
      </c>
      <c r="I59" s="425">
        <v>10201</v>
      </c>
      <c r="J59" s="425">
        <v>3245</v>
      </c>
      <c r="K59" s="504"/>
      <c r="L59" s="504"/>
      <c r="M59" s="280">
        <v>7120</v>
      </c>
      <c r="N59" s="233"/>
      <c r="O59" s="7" t="s">
        <v>44</v>
      </c>
      <c r="P59" s="425">
        <f>(B59*1000)/SUM('Population Figures'!$AI19:$AK19)</f>
        <v>687.46119915046563</v>
      </c>
      <c r="Q59" s="280">
        <f>(C59/SUM('Population Figures'!AI19:AK19))*1000</f>
        <v>1.6173827805914067</v>
      </c>
      <c r="R59" s="425">
        <f>(D59/'Population Figures'!AI19)*1000</f>
        <v>1.199189513294463</v>
      </c>
      <c r="S59" s="425">
        <f>(E59/'Population Figures'!AI19)*1000</f>
        <v>698.10748597499617</v>
      </c>
      <c r="T59" s="280">
        <f>(F59/'Population Figures'!AH19)*1000</f>
        <v>1510.1715544221629</v>
      </c>
      <c r="U59" s="425">
        <f>(G59/'Population Figures'!AJ19)*1000</f>
        <v>96.1019101445128</v>
      </c>
      <c r="V59" s="425">
        <f>(H59/'Population Figures'!AJ19)*1000</f>
        <v>245.31406495922164</v>
      </c>
      <c r="W59" s="425">
        <f>(I59/'Population Figures'!AJ19)*1000</f>
        <v>45.611854342538273</v>
      </c>
      <c r="X59" s="500">
        <f>(J59/'Population Figures'!AJ19)*1000</f>
        <v>14.509407640578051</v>
      </c>
      <c r="Y59" s="504"/>
      <c r="Z59" s="504"/>
      <c r="AA59" s="501">
        <f>(M59/'Population Figures'!AJ19)*1000</f>
        <v>31.835741880097295</v>
      </c>
    </row>
    <row r="60" spans="1:27">
      <c r="A60" s="7" t="s">
        <v>45</v>
      </c>
      <c r="B60" s="425">
        <v>540641</v>
      </c>
      <c r="C60" s="280">
        <v>885</v>
      </c>
      <c r="D60" s="425">
        <v>212</v>
      </c>
      <c r="E60" s="425">
        <v>152123</v>
      </c>
      <c r="F60" s="280">
        <v>219493</v>
      </c>
      <c r="G60" s="425">
        <v>30214</v>
      </c>
      <c r="H60" s="425">
        <v>70602</v>
      </c>
      <c r="I60" s="425">
        <v>22939</v>
      </c>
      <c r="J60" s="425">
        <v>26459</v>
      </c>
      <c r="K60" s="504"/>
      <c r="L60" s="504"/>
      <c r="M60" s="280">
        <v>17714</v>
      </c>
      <c r="N60" s="233"/>
      <c r="O60" s="7" t="s">
        <v>45</v>
      </c>
      <c r="P60" s="425">
        <f>(B60*1000)/SUM('Population Figures'!$AI20:$AK20)</f>
        <v>901.5942633202701</v>
      </c>
      <c r="Q60" s="280">
        <f>(C60/SUM('Population Figures'!AI20:AK20))*1000</f>
        <v>1.4758609188693406</v>
      </c>
      <c r="R60" s="425">
        <f>(D60/'Population Figures'!AI20)*1000</f>
        <v>1.9405744832762757</v>
      </c>
      <c r="S60" s="425">
        <f>(E60/'Population Figures'!AI20)*1000</f>
        <v>1392.4811892426267</v>
      </c>
      <c r="T60" s="280">
        <f>(F60/'Population Figures'!AH20)*1000</f>
        <v>2638.4224255027584</v>
      </c>
      <c r="U60" s="425">
        <f>(G60/'Population Figures'!AJ20)*1000</f>
        <v>74.259409001870381</v>
      </c>
      <c r="V60" s="425">
        <f>(H60/'Population Figures'!AJ20)*1000</f>
        <v>173.524286567487</v>
      </c>
      <c r="W60" s="425">
        <f>(I60/'Population Figures'!AJ20)*1000</f>
        <v>56.379048887731003</v>
      </c>
      <c r="X60" s="500">
        <f>(J60/'Population Figures'!AJ20)*1000</f>
        <v>65.030439623369574</v>
      </c>
      <c r="Y60" s="504"/>
      <c r="Z60" s="504"/>
      <c r="AA60" s="501">
        <f>(M60/'Population Figures'!AJ20)*1000</f>
        <v>43.537140764517503</v>
      </c>
    </row>
    <row r="61" spans="1:27">
      <c r="A61" s="7" t="s">
        <v>46</v>
      </c>
      <c r="B61" s="425">
        <v>146050</v>
      </c>
      <c r="C61" s="280">
        <v>456</v>
      </c>
      <c r="D61" s="425">
        <v>122</v>
      </c>
      <c r="E61" s="425">
        <v>45017</v>
      </c>
      <c r="F61" s="280">
        <v>56255</v>
      </c>
      <c r="G61" s="425">
        <v>7465</v>
      </c>
      <c r="H61" s="425">
        <v>25519</v>
      </c>
      <c r="I61" s="425">
        <v>5495</v>
      </c>
      <c r="J61" s="425">
        <v>2278</v>
      </c>
      <c r="K61" s="504"/>
      <c r="L61" s="504"/>
      <c r="M61" s="280">
        <v>3443</v>
      </c>
      <c r="N61" s="233"/>
      <c r="O61" s="7" t="s">
        <v>46</v>
      </c>
      <c r="P61" s="425">
        <f>(B61*1000)/SUM('Population Figures'!$AI21:$AK21)</f>
        <v>626.55512655512655</v>
      </c>
      <c r="Q61" s="280">
        <f>(C61/SUM('Population Figures'!AI21:AK21))*1000</f>
        <v>1.9562419562419564</v>
      </c>
      <c r="R61" s="425">
        <f>(D61/'Population Figures'!AI21)*1000</f>
        <v>2.6822618942924987</v>
      </c>
      <c r="S61" s="425">
        <f>(E61/'Population Figures'!AI21)*1000</f>
        <v>989.73265324070007</v>
      </c>
      <c r="T61" s="280">
        <f>(F61/'Population Figures'!AH21)*1000</f>
        <v>1208.7191938290969</v>
      </c>
      <c r="U61" s="425">
        <f>(G61/'Population Figures'!AJ21)*1000</f>
        <v>53.473828984033062</v>
      </c>
      <c r="V61" s="425">
        <f>(H61/'Population Figures'!AJ21)*1000</f>
        <v>182.79955014648891</v>
      </c>
      <c r="W61" s="425">
        <f>(I61/'Population Figures'!AJ21)*1000</f>
        <v>39.362182219325078</v>
      </c>
      <c r="X61" s="500">
        <f>(J61/'Population Figures'!AJ21)*1000</f>
        <v>16.317934685281621</v>
      </c>
      <c r="Y61" s="504"/>
      <c r="Z61" s="504"/>
      <c r="AA61" s="501">
        <f>(M61/'Population Figures'!AJ21)*1000</f>
        <v>24.663147112126705</v>
      </c>
    </row>
    <row r="62" spans="1:27">
      <c r="A62" s="7" t="s">
        <v>47</v>
      </c>
      <c r="B62" s="425">
        <v>65150</v>
      </c>
      <c r="C62" s="280">
        <v>1067</v>
      </c>
      <c r="D62" s="425">
        <v>7</v>
      </c>
      <c r="E62" s="425">
        <v>11689</v>
      </c>
      <c r="F62" s="280">
        <v>32457</v>
      </c>
      <c r="G62" s="425">
        <v>3748</v>
      </c>
      <c r="H62" s="425">
        <v>9261</v>
      </c>
      <c r="I62" s="425">
        <v>2891</v>
      </c>
      <c r="J62" s="425">
        <v>1979</v>
      </c>
      <c r="K62" s="504"/>
      <c r="L62" s="504"/>
      <c r="M62" s="280">
        <v>2051</v>
      </c>
      <c r="N62" s="233"/>
      <c r="O62" s="7" t="s">
        <v>47</v>
      </c>
      <c r="P62" s="425">
        <f>(B62*1000)/SUM('Population Figures'!$AI22:$AK22)</f>
        <v>815.8026546456299</v>
      </c>
      <c r="Q62" s="280">
        <f>(C62/SUM('Population Figures'!AI22:AK22))*1000</f>
        <v>13.360881542699726</v>
      </c>
      <c r="R62" s="425">
        <f>(D62/'Population Figures'!AI22)*1000</f>
        <v>0.4672273394740355</v>
      </c>
      <c r="S62" s="425">
        <f>(E62/'Population Figures'!AI22)*1000</f>
        <v>780.20291015885732</v>
      </c>
      <c r="T62" s="280">
        <f>(F62/'Population Figures'!AH22)*1000</f>
        <v>2103.4996759559303</v>
      </c>
      <c r="U62" s="425">
        <f>(G62/'Population Figures'!AJ22)*1000</f>
        <v>76.198995669587489</v>
      </c>
      <c r="V62" s="425">
        <f>(H62/'Population Figures'!AJ22)*1000</f>
        <v>188.28145648240388</v>
      </c>
      <c r="W62" s="425">
        <f>(I62/'Population Figures'!AJ22)*1000</f>
        <v>58.775692764348307</v>
      </c>
      <c r="X62" s="500">
        <f>(J62/'Population Figures'!AJ22)*1000</f>
        <v>40.234208225750706</v>
      </c>
      <c r="Y62" s="504"/>
      <c r="Z62" s="504"/>
      <c r="AA62" s="501">
        <f>(M62/'Population Figures'!AJ22)*1000</f>
        <v>41.698009636692625</v>
      </c>
    </row>
    <row r="63" spans="1:27">
      <c r="A63" s="7" t="s">
        <v>48</v>
      </c>
      <c r="B63" s="425">
        <v>57953</v>
      </c>
      <c r="C63" s="280">
        <v>1142</v>
      </c>
      <c r="D63" s="425">
        <v>45</v>
      </c>
      <c r="E63" s="425">
        <v>14952</v>
      </c>
      <c r="F63" s="280">
        <v>25165</v>
      </c>
      <c r="G63" s="425">
        <v>3514</v>
      </c>
      <c r="H63" s="425">
        <v>9532</v>
      </c>
      <c r="I63" s="425">
        <v>1907</v>
      </c>
      <c r="J63" s="425">
        <v>770</v>
      </c>
      <c r="K63" s="504"/>
      <c r="L63" s="504"/>
      <c r="M63" s="280">
        <v>926</v>
      </c>
      <c r="N63" s="233"/>
      <c r="O63" s="7" t="s">
        <v>48</v>
      </c>
      <c r="P63" s="425">
        <f>(B63*1000)/SUM('Population Figures'!$AI23:$AK23)</f>
        <v>672.23059969841086</v>
      </c>
      <c r="Q63" s="280">
        <f>(C63/SUM('Population Figures'!AI23:AK23))*1000</f>
        <v>13.246723117967754</v>
      </c>
      <c r="R63" s="425">
        <f>(D63/'Population Figures'!AI23)*1000</f>
        <v>2.4433946896888745</v>
      </c>
      <c r="S63" s="425">
        <f>(E63/'Population Figures'!AI23)*1000</f>
        <v>811.85860889395667</v>
      </c>
      <c r="T63" s="280">
        <f>(F63/'Population Figures'!AH23)*1000</f>
        <v>1662.1532364597094</v>
      </c>
      <c r="U63" s="425">
        <f>(G63/'Population Figures'!AJ23)*1000</f>
        <v>67.343809888846309</v>
      </c>
      <c r="V63" s="425">
        <f>(H63/'Population Figures'!AJ23)*1000</f>
        <v>182.67535454197008</v>
      </c>
      <c r="W63" s="425">
        <f>(I63/'Population Figures'!AJ23)*1000</f>
        <v>36.546569566883861</v>
      </c>
      <c r="X63" s="500">
        <f>(J63/'Population Figures'!AJ23)*1000</f>
        <v>14.756611728631659</v>
      </c>
      <c r="Y63" s="504"/>
      <c r="Z63" s="504"/>
      <c r="AA63" s="501">
        <f>(M63/'Population Figures'!AJ23)*1000</f>
        <v>17.746262935990799</v>
      </c>
    </row>
    <row r="64" spans="1:27">
      <c r="A64" s="7" t="s">
        <v>49</v>
      </c>
      <c r="B64" s="425">
        <v>64169</v>
      </c>
      <c r="C64" s="280">
        <v>764</v>
      </c>
      <c r="D64" s="425">
        <v>24</v>
      </c>
      <c r="E64" s="425">
        <v>16762</v>
      </c>
      <c r="F64" s="280">
        <v>27469</v>
      </c>
      <c r="G64" s="425">
        <v>3550</v>
      </c>
      <c r="H64" s="425">
        <v>11657</v>
      </c>
      <c r="I64" s="425">
        <v>2073</v>
      </c>
      <c r="J64" s="425">
        <v>722</v>
      </c>
      <c r="K64" s="504"/>
      <c r="L64" s="504"/>
      <c r="M64" s="280">
        <v>923</v>
      </c>
      <c r="N64" s="233"/>
      <c r="O64" s="7" t="s">
        <v>49</v>
      </c>
      <c r="P64" s="425">
        <f>(B64*1000)/SUM('Population Figures'!$AI24:$AK24)</f>
        <v>677.24538258575194</v>
      </c>
      <c r="Q64" s="280">
        <f>(C64/SUM('Population Figures'!AI24:AK24))*1000</f>
        <v>8.0633245382585752</v>
      </c>
      <c r="R64" s="425">
        <f>(D64/'Population Figures'!AI24)*1000</f>
        <v>1.2600409513309181</v>
      </c>
      <c r="S64" s="425">
        <f>(E64/'Population Figures'!AI24)*1000</f>
        <v>880.0336010920355</v>
      </c>
      <c r="T64" s="280">
        <f>(F64/'Population Figures'!AH24)*1000</f>
        <v>1486.337319409123</v>
      </c>
      <c r="U64" s="425">
        <f>(G64/'Population Figures'!AJ24)*1000</f>
        <v>62.606916741618612</v>
      </c>
      <c r="V64" s="425">
        <f>(H64/'Population Figures'!AJ24)*1000</f>
        <v>205.57995167804171</v>
      </c>
      <c r="W64" s="425">
        <f>(I64/'Population Figures'!AJ24)*1000</f>
        <v>36.558912226866305</v>
      </c>
      <c r="X64" s="500">
        <f>(J64/'Population Figures'!AJ24)*1000</f>
        <v>12.733012362661588</v>
      </c>
      <c r="Y64" s="504"/>
      <c r="Z64" s="504"/>
      <c r="AA64" s="501">
        <f>(M64/'Population Figures'!AJ24)*1000</f>
        <v>16.277798352820838</v>
      </c>
    </row>
    <row r="65" spans="1:27">
      <c r="A65" s="7" t="s">
        <v>50</v>
      </c>
      <c r="B65" s="425">
        <v>115765</v>
      </c>
      <c r="C65" s="280">
        <v>1272</v>
      </c>
      <c r="D65" s="425">
        <v>107</v>
      </c>
      <c r="E65" s="425">
        <v>27008</v>
      </c>
      <c r="F65" s="280">
        <v>56861</v>
      </c>
      <c r="G65" s="425">
        <v>6516</v>
      </c>
      <c r="H65" s="425">
        <v>15062</v>
      </c>
      <c r="I65" s="425">
        <v>3045</v>
      </c>
      <c r="J65" s="425">
        <v>1841</v>
      </c>
      <c r="K65" s="504"/>
      <c r="L65" s="504"/>
      <c r="M65" s="280">
        <v>4053</v>
      </c>
      <c r="N65" s="233"/>
      <c r="O65" s="7" t="s">
        <v>50</v>
      </c>
      <c r="P65" s="425">
        <f>(B65*1000)/SUM('Population Figures'!$AI25:$AK25)</f>
        <v>848.40600952729937</v>
      </c>
      <c r="Q65" s="280">
        <f>(C65/SUM('Population Figures'!AI25:AK25))*1000</f>
        <v>9.3220960058629529</v>
      </c>
      <c r="R65" s="425">
        <f>(D65/'Population Figures'!AI25)*1000</f>
        <v>4.0007478033277248</v>
      </c>
      <c r="S65" s="425">
        <f>(E65/'Population Figures'!AI25)*1000</f>
        <v>1009.8336137595811</v>
      </c>
      <c r="T65" s="280">
        <f>(F65/'Population Figures'!AH25)*1000</f>
        <v>2044.4036961133284</v>
      </c>
      <c r="U65" s="425">
        <f>(G65/'Population Figures'!AJ25)*1000</f>
        <v>80.231484331712124</v>
      </c>
      <c r="V65" s="425">
        <f>(H65/'Population Figures'!AJ25)*1000</f>
        <v>185.45835128978638</v>
      </c>
      <c r="W65" s="425">
        <f>(I65/'Population Figures'!AJ25)*1000</f>
        <v>37.493073939543187</v>
      </c>
      <c r="X65" s="500">
        <f>(J65/'Population Figures'!AJ25)*1000</f>
        <v>22.668226312873237</v>
      </c>
      <c r="Y65" s="504"/>
      <c r="Z65" s="504"/>
      <c r="AA65" s="501">
        <f>(M65/'Population Figures'!AJ25)*1000</f>
        <v>49.904574278150584</v>
      </c>
    </row>
    <row r="66" spans="1:27">
      <c r="A66" s="7" t="s">
        <v>51</v>
      </c>
      <c r="B66" s="425">
        <v>197061</v>
      </c>
      <c r="C66" s="280">
        <v>4358</v>
      </c>
      <c r="D66" s="425">
        <v>38</v>
      </c>
      <c r="E66" s="425">
        <v>31690</v>
      </c>
      <c r="F66" s="280">
        <v>86038</v>
      </c>
      <c r="G66" s="425">
        <v>10117</v>
      </c>
      <c r="H66" s="425">
        <v>43421</v>
      </c>
      <c r="I66" s="425">
        <v>12087</v>
      </c>
      <c r="J66" s="425">
        <v>1781</v>
      </c>
      <c r="K66" s="504"/>
      <c r="L66" s="504"/>
      <c r="M66" s="280">
        <v>7531</v>
      </c>
      <c r="N66" s="233"/>
      <c r="O66" s="7" t="s">
        <v>51</v>
      </c>
      <c r="P66" s="425">
        <f>(B66*1000)/SUM('Population Figures'!$AI26:$AK26)</f>
        <v>583.10696848646251</v>
      </c>
      <c r="Q66" s="280">
        <f>(C66/SUM('Population Figures'!AI26:AK26))*1000</f>
        <v>12.89539872762243</v>
      </c>
      <c r="R66" s="425">
        <f>(D66/'Population Figures'!AI26)*1000</f>
        <v>0.52755796196029425</v>
      </c>
      <c r="S66" s="425">
        <f>(E66/'Population Figures'!AI26)*1000</f>
        <v>439.95557406636129</v>
      </c>
      <c r="T66" s="280">
        <f>(F66/'Population Figures'!AH26)*1000</f>
        <v>1607.7962364285315</v>
      </c>
      <c r="U66" s="425">
        <f>(G66/'Population Figures'!AJ26)*1000</f>
        <v>47.918798075101364</v>
      </c>
      <c r="V66" s="425">
        <f>(H66/'Population Figures'!AJ26)*1000</f>
        <v>205.66196809518397</v>
      </c>
      <c r="W66" s="425">
        <f>(I66/'Population Figures'!AJ26)*1000</f>
        <v>57.24963055587132</v>
      </c>
      <c r="X66" s="500">
        <f>(J66/'Population Figures'!AJ26)*1000</f>
        <v>8.4356409381986275</v>
      </c>
      <c r="Y66" s="504"/>
      <c r="Z66" s="504"/>
      <c r="AA66" s="501">
        <f>(M66/'Population Figures'!AJ26)*1000</f>
        <v>35.670304270395214</v>
      </c>
    </row>
    <row r="67" spans="1:27">
      <c r="A67" s="7" t="s">
        <v>52</v>
      </c>
      <c r="B67" s="425">
        <v>22562</v>
      </c>
      <c r="C67" s="280">
        <v>678</v>
      </c>
      <c r="D67" s="425">
        <v>0</v>
      </c>
      <c r="E67" s="425">
        <v>3632</v>
      </c>
      <c r="F67" s="280">
        <v>12407</v>
      </c>
      <c r="G67" s="425">
        <v>1209</v>
      </c>
      <c r="H67" s="425">
        <v>3789</v>
      </c>
      <c r="I67" s="425">
        <v>529</v>
      </c>
      <c r="J67" s="425">
        <v>46</v>
      </c>
      <c r="K67" s="504"/>
      <c r="L67" s="504"/>
      <c r="M67" s="280">
        <v>272</v>
      </c>
      <c r="N67" s="233"/>
      <c r="O67" s="7" t="s">
        <v>52</v>
      </c>
      <c r="P67" s="425">
        <f>(B67*1000)/SUM('Population Figures'!$AI27:$AK27)</f>
        <v>1045.0208429828624</v>
      </c>
      <c r="Q67" s="280">
        <f>(C67/SUM('Population Figures'!AI27:AK27))*1000</f>
        <v>31.403427512737377</v>
      </c>
      <c r="R67" s="425">
        <f>(D67/'Population Figures'!AI27)*1000</f>
        <v>0</v>
      </c>
      <c r="S67" s="425">
        <f>(E67/'Population Figures'!AI27)*1000</f>
        <v>905.50984791822486</v>
      </c>
      <c r="T67" s="280">
        <f>(F67/'Population Figures'!AH27)*1000</f>
        <v>2720.833333333333</v>
      </c>
      <c r="U67" s="425">
        <f>(G67/'Population Figures'!AJ27)*1000</f>
        <v>93.997823044627594</v>
      </c>
      <c r="V67" s="425">
        <f>(H67/'Population Figures'!AJ27)*1000</f>
        <v>294.58871093142591</v>
      </c>
      <c r="W67" s="425">
        <f>(I67/'Population Figures'!AJ27)*1000</f>
        <v>41.128906857409419</v>
      </c>
      <c r="X67" s="500">
        <f>(J67/'Population Figures'!AJ27)*1000</f>
        <v>3.5764266832529934</v>
      </c>
      <c r="Y67" s="504"/>
      <c r="Z67" s="504"/>
      <c r="AA67" s="501">
        <f>(M67/'Population Figures'!AJ27)*1000</f>
        <v>21.147566474887263</v>
      </c>
    </row>
    <row r="68" spans="1:27">
      <c r="A68" s="7" t="s">
        <v>53</v>
      </c>
      <c r="B68" s="425">
        <v>87995</v>
      </c>
      <c r="C68" s="280">
        <v>362</v>
      </c>
      <c r="D68" s="425">
        <v>0</v>
      </c>
      <c r="E68" s="425">
        <v>18152</v>
      </c>
      <c r="F68" s="280">
        <v>43409</v>
      </c>
      <c r="G68" s="425">
        <v>2722</v>
      </c>
      <c r="H68" s="425">
        <v>15088</v>
      </c>
      <c r="I68" s="425">
        <v>4139</v>
      </c>
      <c r="J68" s="425">
        <v>1076</v>
      </c>
      <c r="K68" s="504"/>
      <c r="L68" s="504"/>
      <c r="M68" s="280">
        <v>3047</v>
      </c>
      <c r="N68" s="233"/>
      <c r="O68" s="7" t="s">
        <v>53</v>
      </c>
      <c r="P68" s="425">
        <f>(B68*1000)/SUM('Population Figures'!$AI28:$AK28)</f>
        <v>591.04648038688879</v>
      </c>
      <c r="Q68" s="280">
        <f>(C68/SUM('Population Figures'!AI28:AK28))*1000</f>
        <v>2.4314884470714668</v>
      </c>
      <c r="R68" s="425">
        <f>(D68/'Population Figures'!AI28)*1000</f>
        <v>0</v>
      </c>
      <c r="S68" s="425">
        <f>(E68/'Population Figures'!AI28)*1000</f>
        <v>644.62516424588944</v>
      </c>
      <c r="T68" s="280">
        <f>(F68/'Population Figures'!AH28)*1000</f>
        <v>1367.858830943753</v>
      </c>
      <c r="U68" s="425">
        <f>(G68/'Population Figures'!AJ28)*1000</f>
        <v>30.859928575477582</v>
      </c>
      <c r="V68" s="425">
        <f>(H68/'Population Figures'!AJ28)*1000</f>
        <v>171.05606258148632</v>
      </c>
      <c r="W68" s="425">
        <f>(I68/'Population Figures'!AJ28)*1000</f>
        <v>46.924777506944054</v>
      </c>
      <c r="X68" s="500">
        <f>(J68/'Population Figures'!AJ28)*1000</f>
        <v>12.198854940196135</v>
      </c>
      <c r="Y68" s="504"/>
      <c r="Z68" s="504"/>
      <c r="AA68" s="501">
        <f>(M68/'Population Figures'!AJ28)*1000</f>
        <v>34.544526954254295</v>
      </c>
    </row>
    <row r="69" spans="1:27">
      <c r="A69" s="7" t="s">
        <v>54</v>
      </c>
      <c r="B69" s="425">
        <v>130984</v>
      </c>
      <c r="C69" s="280">
        <v>530</v>
      </c>
      <c r="D69" s="425">
        <v>0</v>
      </c>
      <c r="E69" s="425">
        <v>35258</v>
      </c>
      <c r="F69" s="280">
        <v>55519</v>
      </c>
      <c r="G69" s="425">
        <v>7142</v>
      </c>
      <c r="H69" s="425">
        <v>21245</v>
      </c>
      <c r="I69" s="425">
        <v>4752</v>
      </c>
      <c r="J69" s="425">
        <v>2136</v>
      </c>
      <c r="K69" s="504"/>
      <c r="L69" s="504"/>
      <c r="M69" s="280">
        <v>4402</v>
      </c>
      <c r="N69" s="233"/>
      <c r="O69" s="7" t="s">
        <v>54</v>
      </c>
      <c r="P69" s="425">
        <f>(B69*1000)/SUM('Population Figures'!$AI29:$AK29)</f>
        <v>751.78786661309766</v>
      </c>
      <c r="Q69" s="280">
        <f>(C69/SUM('Population Figures'!AI29:AK29))*1000</f>
        <v>3.0419560351259829</v>
      </c>
      <c r="R69" s="425">
        <f>(D69/'Population Figures'!AI29)*1000</f>
        <v>0</v>
      </c>
      <c r="S69" s="425">
        <f>(E69/'Population Figures'!AI29)*1000</f>
        <v>1034.5050173111906</v>
      </c>
      <c r="T69" s="280">
        <f>(F69/'Population Figures'!AH29)*1000</f>
        <v>1786.7280275480321</v>
      </c>
      <c r="U69" s="425">
        <f>(G69/'Population Figures'!AJ29)*1000</f>
        <v>65.88743230901224</v>
      </c>
      <c r="V69" s="425">
        <f>(H69/'Population Figures'!AJ29)*1000</f>
        <v>195.99250901777722</v>
      </c>
      <c r="W69" s="425">
        <f>(I69/'Population Figures'!AJ29)*1000</f>
        <v>43.838851628735114</v>
      </c>
      <c r="X69" s="500">
        <f>(J69/'Population Figures'!AJ29)*1000</f>
        <v>19.705342398774874</v>
      </c>
      <c r="Y69" s="504"/>
      <c r="Z69" s="504"/>
      <c r="AA69" s="501">
        <f>(M69/'Population Figures'!AJ29)*1000</f>
        <v>40.609979980995782</v>
      </c>
    </row>
    <row r="70" spans="1:27">
      <c r="A70" s="7" t="s">
        <v>55</v>
      </c>
      <c r="B70" s="425">
        <v>85821</v>
      </c>
      <c r="C70" s="280">
        <v>267</v>
      </c>
      <c r="D70" s="425">
        <v>20</v>
      </c>
      <c r="E70" s="425">
        <v>15518</v>
      </c>
      <c r="F70" s="280">
        <v>39945</v>
      </c>
      <c r="G70" s="425">
        <v>5555</v>
      </c>
      <c r="H70" s="425">
        <v>19982</v>
      </c>
      <c r="I70" s="425">
        <v>2721</v>
      </c>
      <c r="J70" s="425">
        <v>380</v>
      </c>
      <c r="K70" s="504"/>
      <c r="L70" s="504"/>
      <c r="M70" s="280">
        <v>1433</v>
      </c>
      <c r="N70" s="233"/>
      <c r="O70" s="7" t="s">
        <v>55</v>
      </c>
      <c r="P70" s="425">
        <f>(B70*1000)/SUM('Population Figures'!$AI30:$AK30)</f>
        <v>752.61773217574319</v>
      </c>
      <c r="Q70" s="280">
        <f>(C70/SUM('Population Figures'!AI30:AK30))*1000</f>
        <v>2.3414890818205736</v>
      </c>
      <c r="R70" s="425">
        <f>(D70/'Population Figures'!AI30)*1000</f>
        <v>0.92348894121992886</v>
      </c>
      <c r="S70" s="425">
        <f>(E70/'Population Figures'!AI30)*1000</f>
        <v>716.5350694925429</v>
      </c>
      <c r="T70" s="280">
        <f>(F70/'Population Figures'!AH30)*1000</f>
        <v>1554.1592094000466</v>
      </c>
      <c r="U70" s="425">
        <f>(G70/'Population Figures'!AJ30)*1000</f>
        <v>84.113140122952061</v>
      </c>
      <c r="V70" s="425">
        <f>(H70/'Population Figures'!AJ30)*1000</f>
        <v>302.56503437206629</v>
      </c>
      <c r="W70" s="425">
        <f>(I70/'Population Figures'!AJ30)*1000</f>
        <v>41.201053874806945</v>
      </c>
      <c r="X70" s="500">
        <f>(J70/'Population Figures'!AJ30)*1000</f>
        <v>5.7539141758275036</v>
      </c>
      <c r="Y70" s="504"/>
      <c r="Z70" s="504"/>
      <c r="AA70" s="501">
        <f>(M70/'Population Figures'!AJ30)*1000</f>
        <v>21.69831319463372</v>
      </c>
    </row>
    <row r="71" spans="1:27">
      <c r="A71" s="7" t="s">
        <v>56</v>
      </c>
      <c r="B71" s="425">
        <v>34545</v>
      </c>
      <c r="C71" s="280">
        <v>422</v>
      </c>
      <c r="D71" s="425">
        <v>42</v>
      </c>
      <c r="E71" s="425">
        <v>4621</v>
      </c>
      <c r="F71" s="280">
        <v>17911</v>
      </c>
      <c r="G71" s="425">
        <v>2582</v>
      </c>
      <c r="H71" s="425">
        <v>6269</v>
      </c>
      <c r="I71" s="425">
        <v>1606</v>
      </c>
      <c r="J71" s="425">
        <v>681</v>
      </c>
      <c r="K71" s="504"/>
      <c r="L71" s="504"/>
      <c r="M71" s="280">
        <v>411</v>
      </c>
      <c r="N71" s="233"/>
      <c r="O71" s="7" t="s">
        <v>56</v>
      </c>
      <c r="P71" s="425">
        <f>(B71*1000)/SUM('Population Figures'!$AI31:$AK31)</f>
        <v>1487.0856650882479</v>
      </c>
      <c r="Q71" s="280">
        <f>(C71/SUM('Population Figures'!AI31:AK31))*1000</f>
        <v>18.166164442531208</v>
      </c>
      <c r="R71" s="425">
        <f>(D71/'Population Figures'!AI31)*1000</f>
        <v>8.6136177194421659</v>
      </c>
      <c r="S71" s="425">
        <f>(E71/'Population Figures'!AI31)*1000</f>
        <v>947.70303527481542</v>
      </c>
      <c r="T71" s="280">
        <f>(F71/'Population Figures'!AH31)*1000</f>
        <v>4365.3424323665613</v>
      </c>
      <c r="U71" s="425">
        <f>(G71/'Population Figures'!AJ31)*1000</f>
        <v>182.83529245149413</v>
      </c>
      <c r="V71" s="425">
        <f>(H71/'Population Figures'!AJ31)*1000</f>
        <v>443.91729216824808</v>
      </c>
      <c r="W71" s="425">
        <f>(I71/'Population Figures'!AJ31)*1000</f>
        <v>113.72326865883019</v>
      </c>
      <c r="X71" s="500">
        <f>(J71/'Population Figures'!AJ31)*1000</f>
        <v>48.222631355332105</v>
      </c>
      <c r="Y71" s="504"/>
      <c r="Z71" s="504"/>
      <c r="AA71" s="501">
        <f>(M71/'Population Figures'!AJ31)*1000</f>
        <v>29.103526412689423</v>
      </c>
    </row>
    <row r="72" spans="1:27">
      <c r="A72" s="7" t="s">
        <v>57</v>
      </c>
      <c r="B72" s="425">
        <v>90075</v>
      </c>
      <c r="C72" s="280">
        <v>0</v>
      </c>
      <c r="D72" s="425">
        <v>56</v>
      </c>
      <c r="E72" s="425">
        <v>18961</v>
      </c>
      <c r="F72" s="280">
        <v>45498</v>
      </c>
      <c r="G72" s="425">
        <v>3708</v>
      </c>
      <c r="H72" s="425">
        <v>17044</v>
      </c>
      <c r="I72" s="425">
        <v>3788</v>
      </c>
      <c r="J72" s="425">
        <v>890</v>
      </c>
      <c r="K72" s="504"/>
      <c r="L72" s="504"/>
      <c r="M72" s="280">
        <v>130</v>
      </c>
      <c r="O72" s="7" t="s">
        <v>57</v>
      </c>
      <c r="P72" s="425">
        <f>(B72*1000)/SUM('Population Figures'!$AI32:$AK32)</f>
        <v>800.59550262198911</v>
      </c>
      <c r="Q72" s="280">
        <f>(C72/SUM('Population Figures'!AI32:AK32))*1000</f>
        <v>0</v>
      </c>
      <c r="R72" s="425">
        <f>(D72/'Population Figures'!AI32)*1000</f>
        <v>2.7391899823909216</v>
      </c>
      <c r="S72" s="425">
        <f>(E72/'Population Figures'!AI32)*1000</f>
        <v>927.46037957346891</v>
      </c>
      <c r="T72" s="280">
        <f>(F72/'Population Figures'!AH32)*1000</f>
        <v>1761.8494423791822</v>
      </c>
      <c r="U72" s="425">
        <f>(G72/'Population Figures'!AJ32)*1000</f>
        <v>56.446947785050995</v>
      </c>
      <c r="V72" s="425">
        <f>(H72/'Population Figures'!AJ32)*1000</f>
        <v>259.46110519104889</v>
      </c>
      <c r="W72" s="425">
        <f>(I72/'Population Figures'!AJ32)*1000</f>
        <v>57.66478916121175</v>
      </c>
      <c r="X72" s="500">
        <f>(J72/'Population Figures'!AJ32)*1000</f>
        <v>13.548485309788401</v>
      </c>
      <c r="Y72" s="504"/>
      <c r="Z72" s="504"/>
      <c r="AA72" s="501">
        <f>(M72/'Population Figures'!AJ32)*1000</f>
        <v>1.9789922362612269</v>
      </c>
    </row>
    <row r="73" spans="1:27">
      <c r="A73" s="7" t="s">
        <v>58</v>
      </c>
      <c r="B73" s="425">
        <v>193070</v>
      </c>
      <c r="C73" s="280">
        <v>670</v>
      </c>
      <c r="D73" s="425">
        <v>28</v>
      </c>
      <c r="E73" s="425">
        <v>32180</v>
      </c>
      <c r="F73" s="280">
        <v>99221</v>
      </c>
      <c r="G73" s="425">
        <v>10400</v>
      </c>
      <c r="H73" s="425">
        <v>35807</v>
      </c>
      <c r="I73" s="425">
        <v>6956</v>
      </c>
      <c r="J73" s="425">
        <v>1362</v>
      </c>
      <c r="K73" s="504"/>
      <c r="L73" s="504"/>
      <c r="M73" s="280">
        <v>6446</v>
      </c>
      <c r="O73" s="7" t="s">
        <v>58</v>
      </c>
      <c r="P73" s="425">
        <f>(B73*1000)/SUM('Population Figures'!$AI33:$AK33)</f>
        <v>612.22095383054284</v>
      </c>
      <c r="Q73" s="280">
        <f>(C73/SUM('Population Figures'!AI33:AK33))*1000</f>
        <v>2.1245560629122271</v>
      </c>
      <c r="R73" s="425">
        <f>(D73/'Population Figures'!AI33)*1000</f>
        <v>0.4501245880556225</v>
      </c>
      <c r="S73" s="425">
        <f>(E73/'Population Figures'!AI33)*1000</f>
        <v>517.32175870106903</v>
      </c>
      <c r="T73" s="280">
        <f>(F73/'Population Figures'!AH33)*1000</f>
        <v>1759.5807692989767</v>
      </c>
      <c r="U73" s="425">
        <f>(G73/'Population Figures'!AJ33)*1000</f>
        <v>53.184144988161414</v>
      </c>
      <c r="V73" s="425">
        <f>(H73/'Population Figures'!AJ33)*1000</f>
        <v>183.11198842222075</v>
      </c>
      <c r="W73" s="425">
        <f>(I73/'Population Figures'!AJ33)*1000</f>
        <v>35.572010820927957</v>
      </c>
      <c r="X73" s="500">
        <f>(J73/'Population Figures'!AJ33)*1000</f>
        <v>6.9650774494111385</v>
      </c>
      <c r="Y73" s="504"/>
      <c r="Z73" s="504"/>
      <c r="AA73" s="501">
        <f>(M73/'Population Figures'!AJ33)*1000</f>
        <v>32.963942172470048</v>
      </c>
    </row>
    <row r="74" spans="1:27">
      <c r="A74" s="7" t="s">
        <v>59</v>
      </c>
      <c r="B74" s="425">
        <v>59102</v>
      </c>
      <c r="C74" s="280">
        <v>1286</v>
      </c>
      <c r="D74" s="425">
        <v>31</v>
      </c>
      <c r="E74" s="425">
        <v>11409</v>
      </c>
      <c r="F74" s="280">
        <v>26803</v>
      </c>
      <c r="G74" s="425">
        <v>2975</v>
      </c>
      <c r="H74" s="425">
        <v>11026</v>
      </c>
      <c r="I74" s="425">
        <v>2804</v>
      </c>
      <c r="J74" s="425">
        <v>520</v>
      </c>
      <c r="K74" s="504"/>
      <c r="L74" s="504"/>
      <c r="M74" s="280">
        <v>2248</v>
      </c>
      <c r="O74" s="7" t="s">
        <v>59</v>
      </c>
      <c r="P74" s="425">
        <f>(B74*1000)/SUM('Population Figures'!$AI34:$AK34)</f>
        <v>645.35924874426735</v>
      </c>
      <c r="Q74" s="280">
        <f>(C74/SUM('Population Figures'!AI34:AK34))*1000</f>
        <v>14.04236732911116</v>
      </c>
      <c r="R74" s="425">
        <f>(D74/'Population Figures'!AI34)*1000</f>
        <v>1.7188799556418077</v>
      </c>
      <c r="S74" s="425">
        <f>(E74/'Population Figures'!AI34)*1000</f>
        <v>632.60327141668984</v>
      </c>
      <c r="T74" s="280">
        <f>(F74/'Population Figures'!AH34)*1000</f>
        <v>1616.3912676396092</v>
      </c>
      <c r="U74" s="425">
        <f>(G74/'Population Figures'!AJ34)*1000</f>
        <v>52.497838324304297</v>
      </c>
      <c r="V74" s="425">
        <f>(H74/'Population Figures'!AJ34)*1000</f>
        <v>194.56845894580812</v>
      </c>
      <c r="W74" s="425">
        <f>(I74/'Population Figures'!AJ34)*1000</f>
        <v>49.480315516419914</v>
      </c>
      <c r="X74" s="500">
        <f>(J74/'Population Figures'!AJ34)*1000</f>
        <v>9.1760927491220947</v>
      </c>
      <c r="Y74" s="504"/>
      <c r="Z74" s="504"/>
      <c r="AA74" s="501">
        <f>(M74/'Population Figures'!AJ34)*1000</f>
        <v>39.668954807743212</v>
      </c>
    </row>
    <row r="75" spans="1:27">
      <c r="A75" s="7" t="s">
        <v>60</v>
      </c>
      <c r="B75" s="425">
        <v>79095</v>
      </c>
      <c r="C75" s="280">
        <v>1329</v>
      </c>
      <c r="D75" s="425">
        <v>27</v>
      </c>
      <c r="E75" s="425">
        <v>17152</v>
      </c>
      <c r="F75" s="280">
        <v>36717</v>
      </c>
      <c r="G75" s="425">
        <v>5045</v>
      </c>
      <c r="H75" s="425">
        <v>12193</v>
      </c>
      <c r="I75" s="425">
        <v>2874</v>
      </c>
      <c r="J75" s="425">
        <v>1747</v>
      </c>
      <c r="K75" s="504"/>
      <c r="L75" s="504"/>
      <c r="M75" s="280">
        <v>2011</v>
      </c>
      <c r="O75" s="7" t="s">
        <v>60</v>
      </c>
      <c r="P75" s="425">
        <f>(B75*1000)/SUM('Population Figures'!$AI35:$AK35)</f>
        <v>881.47776663323305</v>
      </c>
      <c r="Q75" s="280">
        <f>(C75/SUM('Population Figures'!AI35:AK35))*1000</f>
        <v>14.811099966566367</v>
      </c>
      <c r="R75" s="425">
        <f>(D75/'Population Figures'!AI35)*1000</f>
        <v>1.520013511231211</v>
      </c>
      <c r="S75" s="425">
        <f>(E75/'Population Figures'!AI35)*1000</f>
        <v>965.60265720880477</v>
      </c>
      <c r="T75" s="280">
        <f>(F75/'Population Figures'!AH35)*1000</f>
        <v>2366.3959783449341</v>
      </c>
      <c r="U75" s="425">
        <f>(G75/'Population Figures'!AJ35)*1000</f>
        <v>89.727172482481407</v>
      </c>
      <c r="V75" s="425">
        <f>(H75/'Population Figures'!AJ35)*1000</f>
        <v>216.85697008501407</v>
      </c>
      <c r="W75" s="425">
        <f>(I75/'Population Figures'!AJ35)*1000</f>
        <v>51.115142460783268</v>
      </c>
      <c r="X75" s="500">
        <f>(J75/'Population Figures'!AJ35)*1000</f>
        <v>31.071034752605556</v>
      </c>
      <c r="Y75" s="504"/>
      <c r="Z75" s="504"/>
      <c r="AA75" s="501">
        <f>(M75/'Population Figures'!AJ35)*1000</f>
        <v>35.766371429587736</v>
      </c>
    </row>
    <row r="76" spans="1:27">
      <c r="A76" s="7" t="s">
        <v>61</v>
      </c>
      <c r="B76" s="425">
        <v>94735</v>
      </c>
      <c r="C76" s="280">
        <v>2762</v>
      </c>
      <c r="D76" s="425">
        <v>60</v>
      </c>
      <c r="E76" s="425">
        <v>24007</v>
      </c>
      <c r="F76" s="280">
        <v>37944</v>
      </c>
      <c r="G76" s="425">
        <v>6320</v>
      </c>
      <c r="H76" s="425">
        <v>16396</v>
      </c>
      <c r="I76" s="425">
        <v>4126</v>
      </c>
      <c r="J76" s="425">
        <v>427</v>
      </c>
      <c r="K76" s="504"/>
      <c r="L76" s="504"/>
      <c r="M76" s="280">
        <v>2693</v>
      </c>
      <c r="O76" s="7" t="s">
        <v>61</v>
      </c>
      <c r="P76" s="425">
        <f>(B76*1000)/SUM('Population Figures'!$AI36:$AK36)</f>
        <v>534.77279141970087</v>
      </c>
      <c r="Q76" s="280">
        <f>(C76/SUM('Population Figures'!AI36:AK36))*1000</f>
        <v>15.591306802145075</v>
      </c>
      <c r="R76" s="425">
        <f>(D76/'Population Figures'!AI36)*1000</f>
        <v>1.5189488873699399</v>
      </c>
      <c r="S76" s="425">
        <f>(E76/'Population Figures'!AI36)*1000</f>
        <v>607.75676565150252</v>
      </c>
      <c r="T76" s="280">
        <f>(F76/'Population Figures'!AH36)*1000</f>
        <v>1446.7533457886909</v>
      </c>
      <c r="U76" s="425">
        <f>(G76/'Population Figures'!AJ36)*1000</f>
        <v>57.184737465956076</v>
      </c>
      <c r="V76" s="425">
        <f>(H76/'Population Figures'!AJ36)*1000</f>
        <v>148.35458156516074</v>
      </c>
      <c r="W76" s="425">
        <f>(I76/'Population Figures'!AJ36)*1000</f>
        <v>37.332947276033984</v>
      </c>
      <c r="X76" s="500">
        <f>(J76/'Population Figures'!AJ36)*1000</f>
        <v>3.8635890661334247</v>
      </c>
      <c r="Y76" s="504"/>
      <c r="Z76" s="504"/>
      <c r="AA76" s="501">
        <f>(M76/'Population Figures'!AJ36)*1000</f>
        <v>24.36685094870565</v>
      </c>
    </row>
    <row r="77" spans="1:27">
      <c r="A77" s="52" t="s">
        <v>5</v>
      </c>
      <c r="B77" s="53">
        <v>3855869</v>
      </c>
      <c r="C77" s="52">
        <v>35015</v>
      </c>
      <c r="D77" s="53">
        <v>1587</v>
      </c>
      <c r="E77" s="53">
        <v>858418</v>
      </c>
      <c r="F77" s="52">
        <f>SUM(F45:F76)</f>
        <v>1710851</v>
      </c>
      <c r="G77" s="53">
        <v>223368</v>
      </c>
      <c r="H77" s="53">
        <v>688869</v>
      </c>
      <c r="I77" s="53">
        <v>156337</v>
      </c>
      <c r="J77" s="53">
        <v>69209</v>
      </c>
      <c r="K77" s="505"/>
      <c r="L77" s="505"/>
      <c r="M77" s="52">
        <v>108218</v>
      </c>
      <c r="N77" s="1"/>
      <c r="O77" s="52" t="s">
        <v>5</v>
      </c>
      <c r="P77" s="425">
        <f>(B77*1000)/SUM('Population Figures'!$AI37:$AK37)</f>
        <v>721.04663774403468</v>
      </c>
      <c r="Q77" s="280">
        <f>(C77/SUM('Population Figures'!AI37:AK37))*1000</f>
        <v>6.5477971426434287</v>
      </c>
      <c r="R77" s="425">
        <f>(D77/'Population Figures'!AI37)*1000</f>
        <v>1.5360299191914695</v>
      </c>
      <c r="S77" s="425">
        <f>(E77/'Population Figures'!AI37)*1000</f>
        <v>830.84797175330993</v>
      </c>
      <c r="T77" s="280">
        <f>(F77/'Population Figures'!AH37)*1000</f>
        <v>1806.8641470457151</v>
      </c>
      <c r="U77" s="425">
        <f>(G77/'Population Figures'!AJ37)*1000</f>
        <v>66.756165818098353</v>
      </c>
      <c r="V77" s="425">
        <f>(H77/'Population Figures'!AJ37)*1000</f>
        <v>205.87663940648434</v>
      </c>
      <c r="W77" s="425">
        <f>(I77/'Population Figures'!AJ37)*1000</f>
        <v>46.723159519286746</v>
      </c>
      <c r="X77" s="500">
        <f>(J77/'Population Figures'!AJ37)*1000</f>
        <v>20.683927331152042</v>
      </c>
      <c r="Y77" s="505"/>
      <c r="Z77" s="505"/>
      <c r="AA77" s="501">
        <f>(M77/'Population Figures'!AJ37)*1000</f>
        <v>32.342227859420184</v>
      </c>
    </row>
  </sheetData>
  <mergeCells count="4">
    <mergeCell ref="B1:M1"/>
    <mergeCell ref="O1:Z1"/>
    <mergeCell ref="B43:M43"/>
    <mergeCell ref="O43:Z43"/>
  </mergeCells>
  <hyperlinks>
    <hyperlink ref="A37" r:id="rId1" display="Annex B, 2012/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946"/>
  <sheetViews>
    <sheetView zoomScaleNormal="100" zoomScaleSheetLayoutView="40" workbookViewId="0">
      <selection activeCell="A24" sqref="A24:H24"/>
    </sheetView>
  </sheetViews>
  <sheetFormatPr defaultRowHeight="12.75"/>
  <cols>
    <col min="2" max="2" width="11" customWidth="1"/>
    <col min="3" max="3" width="11" bestFit="1" customWidth="1"/>
    <col min="4" max="8" width="9.5703125" bestFit="1" customWidth="1"/>
    <col min="9" max="9" width="9.42578125" style="152" bestFit="1" customWidth="1"/>
    <col min="12" max="12" width="12.85546875" bestFit="1" customWidth="1"/>
    <col min="13" max="13" width="12.5703125" bestFit="1" customWidth="1"/>
    <col min="14" max="14" width="12.28515625" bestFit="1" customWidth="1"/>
    <col min="15" max="15" width="12.85546875" bestFit="1" customWidth="1"/>
  </cols>
  <sheetData>
    <row r="1" spans="1:19" ht="13.5" thickBot="1">
      <c r="S1" s="22"/>
    </row>
    <row r="2" spans="1:19">
      <c r="J2" s="645" t="s">
        <v>226</v>
      </c>
      <c r="K2" s="646"/>
      <c r="L2" s="646"/>
      <c r="M2" s="647"/>
    </row>
    <row r="3" spans="1:19" ht="12.75" customHeight="1">
      <c r="J3" s="648"/>
      <c r="K3" s="649"/>
      <c r="L3" s="649"/>
      <c r="M3" s="650"/>
    </row>
    <row r="4" spans="1:19">
      <c r="J4" s="648"/>
      <c r="K4" s="649"/>
      <c r="L4" s="649"/>
      <c r="M4" s="650"/>
    </row>
    <row r="5" spans="1:19">
      <c r="A5" s="96"/>
      <c r="J5" s="648"/>
      <c r="K5" s="649"/>
      <c r="L5" s="649"/>
      <c r="M5" s="650"/>
    </row>
    <row r="6" spans="1:19">
      <c r="J6" s="648"/>
      <c r="K6" s="649"/>
      <c r="L6" s="649"/>
      <c r="M6" s="650"/>
    </row>
    <row r="7" spans="1:19" ht="13.5" thickBot="1">
      <c r="J7" s="651"/>
      <c r="K7" s="652"/>
      <c r="L7" s="652"/>
      <c r="M7" s="653"/>
    </row>
    <row r="8" spans="1:19">
      <c r="I8" s="190"/>
      <c r="J8" s="201"/>
      <c r="K8" s="202"/>
      <c r="L8" s="202"/>
      <c r="M8" s="201"/>
    </row>
    <row r="9" spans="1:19">
      <c r="I9" s="190"/>
      <c r="J9" s="202"/>
      <c r="K9" s="202"/>
      <c r="L9" s="202"/>
      <c r="M9" s="202"/>
    </row>
    <row r="10" spans="1:19">
      <c r="I10" s="190"/>
      <c r="J10" s="202"/>
      <c r="K10" s="202"/>
      <c r="L10" s="202"/>
      <c r="M10" s="202"/>
    </row>
    <row r="11" spans="1:19">
      <c r="I11" s="190"/>
      <c r="J11" s="202"/>
      <c r="K11" s="202"/>
      <c r="L11" s="202"/>
      <c r="M11" s="202"/>
    </row>
    <row r="12" spans="1:19">
      <c r="I12" s="190"/>
      <c r="J12" s="202"/>
      <c r="K12" s="202"/>
      <c r="L12" s="202"/>
      <c r="M12" s="202"/>
    </row>
    <row r="13" spans="1:19">
      <c r="I13" s="190"/>
      <c r="J13" s="191"/>
      <c r="K13" s="191"/>
      <c r="L13" s="191"/>
      <c r="M13" s="191"/>
    </row>
    <row r="14" spans="1:19">
      <c r="I14" s="190"/>
      <c r="J14" s="191"/>
      <c r="K14" s="191"/>
      <c r="L14" s="191"/>
      <c r="M14" s="191"/>
    </row>
    <row r="15" spans="1:19">
      <c r="I15" s="190"/>
      <c r="J15" s="191"/>
      <c r="K15" s="191"/>
      <c r="L15" s="191"/>
      <c r="M15" s="191"/>
    </row>
    <row r="16" spans="1:19" ht="27.75">
      <c r="A16" s="716" t="s">
        <v>5</v>
      </c>
      <c r="B16" s="716"/>
      <c r="C16" s="716"/>
      <c r="D16" s="716"/>
      <c r="E16" s="716"/>
      <c r="F16" s="716"/>
      <c r="G16" s="716"/>
      <c r="H16" s="716"/>
      <c r="I16" s="190"/>
      <c r="J16" s="191"/>
      <c r="K16" s="191"/>
      <c r="L16" s="191"/>
      <c r="M16" s="191"/>
    </row>
    <row r="17" spans="1:19">
      <c r="I17" s="190"/>
      <c r="J17" s="191"/>
      <c r="K17" s="191"/>
      <c r="L17" s="191"/>
      <c r="M17" s="191"/>
    </row>
    <row r="18" spans="1:19">
      <c r="I18" s="190"/>
      <c r="J18" s="191"/>
      <c r="K18" s="191"/>
      <c r="L18" s="191"/>
      <c r="M18" s="191"/>
    </row>
    <row r="19" spans="1:19">
      <c r="I19" s="190"/>
      <c r="J19" s="191"/>
      <c r="K19" s="191"/>
      <c r="L19" s="191"/>
      <c r="M19" s="191"/>
    </row>
    <row r="20" spans="1:19">
      <c r="I20" s="190"/>
      <c r="J20" s="191"/>
      <c r="K20" s="191"/>
      <c r="L20" s="191"/>
      <c r="M20" s="191"/>
    </row>
    <row r="21" spans="1:19" ht="67.5" customHeight="1">
      <c r="A21" s="716" t="s">
        <v>189</v>
      </c>
      <c r="B21" s="716"/>
      <c r="C21" s="716"/>
      <c r="D21" s="716"/>
      <c r="E21" s="716"/>
      <c r="F21" s="716"/>
      <c r="G21" s="716"/>
      <c r="H21" s="716"/>
      <c r="I21" s="167"/>
      <c r="J21" s="191"/>
      <c r="K21" s="191"/>
      <c r="L21" s="191"/>
      <c r="M21" s="191"/>
    </row>
    <row r="22" spans="1:19" ht="18">
      <c r="A22" s="701" t="s">
        <v>192</v>
      </c>
      <c r="B22" s="701"/>
      <c r="C22" s="701"/>
      <c r="D22" s="701"/>
      <c r="E22" s="701"/>
      <c r="F22" s="701"/>
      <c r="G22" s="701"/>
      <c r="H22" s="701"/>
    </row>
    <row r="24" spans="1:19" ht="26.25" customHeight="1">
      <c r="A24" s="708" t="str">
        <f>"In real terms, spend on social work services has moved from £"&amp;ROUND(C28,-3)/1000&amp;" million in "&amp;C27&amp;" to £"&amp;ROUND(H28,-3)/1000&amp;"million in "&amp;H27&amp;", as shown in " &amp; $A$26 &amp; "."</f>
        <v>In real terms, spend on social work services has moved from £3328 million in 2003/04 to £3732million in 2008/09, as shown in Figure 1.</v>
      </c>
      <c r="B24" s="708"/>
      <c r="C24" s="708"/>
      <c r="D24" s="708"/>
      <c r="E24" s="708"/>
      <c r="F24" s="708"/>
      <c r="G24" s="708"/>
      <c r="H24" s="708"/>
    </row>
    <row r="25" spans="1:19">
      <c r="I25" s="153" t="s">
        <v>169</v>
      </c>
    </row>
    <row r="26" spans="1:19">
      <c r="A26" s="88" t="str">
        <f>"Figure " &amp; $I$26</f>
        <v>Figure 1</v>
      </c>
      <c r="I26" s="152">
        <v>1</v>
      </c>
    </row>
    <row r="27" spans="1:19">
      <c r="A27" s="13"/>
      <c r="B27" s="13"/>
      <c r="C27" s="63" t="s">
        <v>2</v>
      </c>
      <c r="D27" s="63" t="s">
        <v>3</v>
      </c>
      <c r="E27" s="63" t="s">
        <v>4</v>
      </c>
      <c r="F27" s="63" t="s">
        <v>0</v>
      </c>
      <c r="G27" s="63" t="s">
        <v>1</v>
      </c>
      <c r="H27" s="63" t="s">
        <v>28</v>
      </c>
      <c r="I27" s="159"/>
    </row>
    <row r="28" spans="1:19">
      <c r="A28" s="707" t="s">
        <v>27</v>
      </c>
      <c r="B28" s="707"/>
      <c r="C28" s="14">
        <f>'LFR Data'!B14</f>
        <v>3328018.0461279755</v>
      </c>
      <c r="D28" s="14">
        <f>'LFR Data'!B15</f>
        <v>3447102.2536571412</v>
      </c>
      <c r="E28" s="14">
        <f>'LFR Data'!B16</f>
        <v>3572868.534914453</v>
      </c>
      <c r="F28" s="14">
        <f>'LFR Data'!B17</f>
        <v>3716888.2850383385</v>
      </c>
      <c r="G28" s="14">
        <f>'LFR Data'!B18</f>
        <v>3791310.4133617221</v>
      </c>
      <c r="H28" s="14">
        <f>'LFR Data'!B19</f>
        <v>3732201.1145146098</v>
      </c>
      <c r="I28" s="158"/>
    </row>
    <row r="29" spans="1:19">
      <c r="A29" s="709" t="s">
        <v>29</v>
      </c>
      <c r="B29" s="709"/>
      <c r="C29" s="151" t="s">
        <v>24</v>
      </c>
      <c r="D29" s="224">
        <f>(D28-C28)/C28</f>
        <v>3.5782320251452907E-2</v>
      </c>
      <c r="E29" s="224">
        <f>(E28-D28)/D28</f>
        <v>3.6484638981591662E-2</v>
      </c>
      <c r="F29" s="224">
        <f>(F28-E28)/E28</f>
        <v>4.0309277746020902E-2</v>
      </c>
      <c r="G29" s="224">
        <f>(G28-F28)/F28</f>
        <v>2.0022697110095144E-2</v>
      </c>
      <c r="H29" s="224">
        <f>(H28-G28)/G28</f>
        <v>-1.5590730486955995E-2</v>
      </c>
      <c r="I29" s="158"/>
    </row>
    <row r="30" spans="1:19">
      <c r="A30" s="709" t="s">
        <v>30</v>
      </c>
      <c r="B30" s="709"/>
      <c r="C30" s="720">
        <f>(H28-C28)/C28</f>
        <v>0.12144858074218866</v>
      </c>
      <c r="D30" s="721"/>
      <c r="E30" s="721"/>
      <c r="F30" s="721"/>
      <c r="G30" s="721"/>
      <c r="H30" s="722"/>
      <c r="I30" s="158"/>
    </row>
    <row r="31" spans="1:19">
      <c r="A31" s="19"/>
      <c r="B31" s="19"/>
      <c r="C31" s="225"/>
      <c r="D31" s="225"/>
      <c r="E31" s="225"/>
      <c r="F31" s="225"/>
      <c r="G31" s="225"/>
      <c r="H31" s="13"/>
      <c r="I31" s="154"/>
    </row>
    <row r="32" spans="1:19" ht="38.25" customHeight="1">
      <c r="A32" s="710" t="str">
        <f>"As can be seen from the above, this represents a move in the total spend across Scotland of "&amp;ROUND(C30,2)*100&amp;"%."</f>
        <v>As can be seen from the above, this represents a move in the total spend across Scotland of 12%.</v>
      </c>
      <c r="B32" s="710"/>
      <c r="C32" s="710"/>
      <c r="D32" s="710"/>
      <c r="E32" s="710"/>
      <c r="F32" s="710"/>
      <c r="G32" s="710"/>
      <c r="H32" s="710"/>
      <c r="I32" s="154"/>
      <c r="J32" s="111"/>
      <c r="K32" s="111"/>
      <c r="L32" s="111"/>
      <c r="M32" s="111"/>
      <c r="N32" s="111"/>
      <c r="O32" s="111"/>
      <c r="P32" s="111"/>
      <c r="Q32" s="111"/>
      <c r="R32" s="111"/>
      <c r="S32" s="111"/>
    </row>
    <row r="33" spans="1:19" ht="11.25" customHeight="1">
      <c r="A33" s="111"/>
      <c r="B33" s="111"/>
      <c r="C33" s="111"/>
      <c r="D33" s="111"/>
      <c r="E33" s="111"/>
      <c r="F33" s="111"/>
      <c r="G33" s="111"/>
      <c r="H33" s="111"/>
      <c r="I33" s="155"/>
      <c r="J33" s="111"/>
      <c r="K33" s="111"/>
      <c r="L33" s="111"/>
      <c r="M33" s="111"/>
      <c r="N33" s="111"/>
      <c r="O33" s="111"/>
      <c r="P33" s="111"/>
      <c r="Q33" s="111"/>
      <c r="R33" s="111"/>
      <c r="S33" s="111"/>
    </row>
    <row r="34" spans="1:19" ht="18">
      <c r="A34" s="701" t="s">
        <v>75</v>
      </c>
      <c r="B34" s="701"/>
      <c r="C34" s="701"/>
      <c r="D34" s="701"/>
      <c r="E34" s="701"/>
      <c r="F34" s="701"/>
      <c r="G34" s="701"/>
      <c r="H34" s="701"/>
      <c r="I34" s="154"/>
    </row>
    <row r="35" spans="1:19">
      <c r="A35" s="19"/>
      <c r="B35" s="19"/>
      <c r="C35" s="225"/>
      <c r="D35" s="225"/>
      <c r="E35" s="225"/>
      <c r="F35" s="225"/>
      <c r="G35" s="225"/>
      <c r="H35" s="13"/>
      <c r="I35" s="154"/>
    </row>
    <row r="36" spans="1:19">
      <c r="A36" s="708" t="s">
        <v>219</v>
      </c>
      <c r="B36" s="708"/>
      <c r="C36" s="708"/>
      <c r="D36" s="708"/>
      <c r="E36" s="708"/>
      <c r="F36" s="708"/>
      <c r="G36" s="708"/>
      <c r="H36" s="708"/>
      <c r="I36" s="154"/>
    </row>
    <row r="37" spans="1:19">
      <c r="A37" s="61"/>
      <c r="B37" s="61"/>
      <c r="C37" s="61"/>
      <c r="D37" s="61"/>
      <c r="E37" s="61"/>
      <c r="F37" s="61"/>
      <c r="G37" s="61"/>
      <c r="H37" s="61"/>
      <c r="I37" s="154"/>
    </row>
    <row r="38" spans="1:19">
      <c r="A38" s="88" t="str">
        <f>"Figure " &amp; $I$38</f>
        <v>Figure 2</v>
      </c>
      <c r="B38" s="61"/>
      <c r="C38" s="717" t="s">
        <v>137</v>
      </c>
      <c r="D38" s="718"/>
      <c r="E38" s="718"/>
      <c r="F38" s="718"/>
      <c r="G38" s="718"/>
      <c r="H38" s="719"/>
      <c r="I38" s="161">
        <f>$I$26+1</f>
        <v>2</v>
      </c>
    </row>
    <row r="39" spans="1:19">
      <c r="A39" s="19"/>
      <c r="B39" s="19"/>
      <c r="C39" s="63" t="s">
        <v>2</v>
      </c>
      <c r="D39" s="63" t="s">
        <v>3</v>
      </c>
      <c r="E39" s="63" t="s">
        <v>4</v>
      </c>
      <c r="F39" s="63" t="s">
        <v>0</v>
      </c>
      <c r="G39" s="63" t="s">
        <v>1</v>
      </c>
      <c r="H39" s="63" t="s">
        <v>28</v>
      </c>
      <c r="I39" s="160"/>
      <c r="J39" s="225"/>
    </row>
    <row r="40" spans="1:19">
      <c r="A40" s="635" t="s">
        <v>76</v>
      </c>
      <c r="B40" s="636"/>
      <c r="C40" s="62">
        <f>'LFR Data'!$B14</f>
        <v>3328018.0461279755</v>
      </c>
      <c r="D40" s="62">
        <f>'LFR Data'!$B15</f>
        <v>3447102.2536571412</v>
      </c>
      <c r="E40" s="62">
        <f>'LFR Data'!$B16</f>
        <v>3572868.534914453</v>
      </c>
      <c r="F40" s="62">
        <f>'LFR Data'!$B17</f>
        <v>3716888.2850383385</v>
      </c>
      <c r="G40" s="62">
        <f>'LFR Data'!$B18</f>
        <v>3791310.4133617221</v>
      </c>
      <c r="H40" s="62">
        <f>'LFR Data'!$B19</f>
        <v>3732201.1145146098</v>
      </c>
      <c r="I40" s="160"/>
      <c r="J40" s="225" t="str">
        <f>IF(H40=SUM(H41+H42+H48)," ","Error")</f>
        <v xml:space="preserve"> </v>
      </c>
    </row>
    <row r="41" spans="1:19">
      <c r="A41" s="635" t="s">
        <v>13</v>
      </c>
      <c r="B41" s="636"/>
      <c r="C41" s="62">
        <f>'LFR Data'!$F14</f>
        <v>697167.18260933622</v>
      </c>
      <c r="D41" s="62">
        <f>'LFR Data'!$F15</f>
        <v>735325.77613648563</v>
      </c>
      <c r="E41" s="62">
        <f>'LFR Data'!$F16</f>
        <v>767147.0919112534</v>
      </c>
      <c r="F41" s="62">
        <f>'LFR Data'!$F17</f>
        <v>786286.5319639087</v>
      </c>
      <c r="G41" s="62">
        <f>'LFR Data'!$F18</f>
        <v>815917.28479707008</v>
      </c>
      <c r="H41" s="62">
        <f>'LFR Data'!$F19</f>
        <v>800241.65174363833</v>
      </c>
      <c r="I41" s="160"/>
      <c r="J41" s="225"/>
    </row>
    <row r="42" spans="1:19">
      <c r="A42" s="635" t="s">
        <v>77</v>
      </c>
      <c r="B42" s="636"/>
      <c r="C42" s="62">
        <f>'LFR Data'!$H14+'LFR Data'!$J14+'LFR Data'!$K14+'LFR Data'!$L14+'LFR Data'!$M14+'LFR Data'!$O14+'LFR Data'!$Q14</f>
        <v>2593585.4145134967</v>
      </c>
      <c r="D42" s="62">
        <f>'LFR Data'!$H15+'LFR Data'!$J15+'LFR Data'!$K15+'LFR Data'!$L15+'LFR Data'!$M15+'LFR Data'!$O15+'LFR Data'!$Q15</f>
        <v>2675136.5274151438</v>
      </c>
      <c r="E42" s="62">
        <f>'LFR Data'!$H16+'LFR Data'!$J16+'LFR Data'!$K16+'LFR Data'!$L16+'LFR Data'!$M16+'LFR Data'!$O16+'LFR Data'!$Q16</f>
        <v>2769361.6603491441</v>
      </c>
      <c r="F42" s="62">
        <f>'LFR Data'!$H17+'LFR Data'!$J17+'LFR Data'!$K17+'LFR Data'!$L17+'LFR Data'!$M17+'LFR Data'!$O17+'LFR Data'!$Q17</f>
        <v>2888063.3837927571</v>
      </c>
      <c r="G42" s="62">
        <f>'LFR Data'!$H18+'LFR Data'!$J18+'LFR Data'!$K18+'LFR Data'!$L18+'LFR Data'!$M18+'LFR Data'!$O18+'LFR Data'!$Q18</f>
        <v>2933346.3750041369</v>
      </c>
      <c r="H42" s="62">
        <f>'LFR Data'!$H19+'LFR Data'!$J19+'LFR Data'!$K19+'LFR Data'!$L19+'LFR Data'!$M19+'LFR Data'!$O19+'LFR Data'!$Q19</f>
        <v>2896154.6499335966</v>
      </c>
      <c r="I42" s="160"/>
      <c r="J42" s="225"/>
    </row>
    <row r="43" spans="1:19">
      <c r="A43" s="637" t="s">
        <v>78</v>
      </c>
      <c r="B43" s="638"/>
      <c r="C43" s="14">
        <f>'LFR Data'!$H14</f>
        <v>1485210.0079171222</v>
      </c>
      <c r="D43" s="14">
        <f>'LFR Data'!$H15</f>
        <v>1556828.935941915</v>
      </c>
      <c r="E43" s="14">
        <f>'LFR Data'!$H16</f>
        <v>1628402.5149534012</v>
      </c>
      <c r="F43" s="14">
        <f>'LFR Data'!$H17</f>
        <v>1684512.0090793085</v>
      </c>
      <c r="G43" s="14">
        <f>'LFR Data'!$H18</f>
        <v>1701830.4736505346</v>
      </c>
      <c r="H43" s="14">
        <f>'LFR Data'!$H19</f>
        <v>1664536.5138484281</v>
      </c>
      <c r="I43" s="160"/>
      <c r="J43" s="225"/>
    </row>
    <row r="44" spans="1:19">
      <c r="A44" s="637" t="s">
        <v>79</v>
      </c>
      <c r="B44" s="638"/>
      <c r="C44" s="14">
        <f>'LFR Data'!$K14</f>
        <v>562237.41005781351</v>
      </c>
      <c r="D44" s="14">
        <f>'LFR Data'!$K15</f>
        <v>579034.15447619732</v>
      </c>
      <c r="E44" s="14">
        <f>'LFR Data'!$K16</f>
        <v>600762.4163652804</v>
      </c>
      <c r="F44" s="14">
        <f>'LFR Data'!$K17</f>
        <v>651913.34827730292</v>
      </c>
      <c r="G44" s="14">
        <f>'LFR Data'!$K18</f>
        <v>673361.59828786401</v>
      </c>
      <c r="H44" s="14">
        <f>'LFR Data'!$K19</f>
        <v>676723.68247151072</v>
      </c>
      <c r="I44" s="160"/>
      <c r="J44" s="225"/>
    </row>
    <row r="45" spans="1:19">
      <c r="A45" s="239" t="s">
        <v>220</v>
      </c>
      <c r="B45" s="240"/>
      <c r="C45" s="14">
        <f>'LFR Data'!$L14</f>
        <v>174822.75393094309</v>
      </c>
      <c r="D45" s="14">
        <f>'LFR Data'!$L15</f>
        <v>150180.16685146108</v>
      </c>
      <c r="E45" s="14">
        <f>'LFR Data'!$L16</f>
        <v>158793.95813047714</v>
      </c>
      <c r="F45" s="14">
        <f>'LFR Data'!$L17</f>
        <v>159154.97583368153</v>
      </c>
      <c r="G45" s="14">
        <f>'LFR Data'!$L18</f>
        <v>160159.84864363965</v>
      </c>
      <c r="H45" s="14">
        <f>'LFR Data'!$L19</f>
        <v>160828.48084997004</v>
      </c>
      <c r="I45" s="160"/>
      <c r="J45" s="225"/>
    </row>
    <row r="46" spans="1:19">
      <c r="A46" s="239" t="s">
        <v>221</v>
      </c>
      <c r="B46" s="240"/>
      <c r="C46" s="14">
        <f>'LFR Data'!$M14</f>
        <v>44205.832218389827</v>
      </c>
      <c r="D46" s="14">
        <f>'LFR Data'!$M15</f>
        <v>48748.895883257632</v>
      </c>
      <c r="E46" s="14">
        <f>'LFR Data'!$M16</f>
        <v>53126.067951036312</v>
      </c>
      <c r="F46" s="14">
        <f>'LFR Data'!$M17</f>
        <v>55556.224633835103</v>
      </c>
      <c r="G46" s="14">
        <f>'LFR Data'!$M18</f>
        <v>56932.586792723429</v>
      </c>
      <c r="H46" s="14">
        <f>'LFR Data'!$M19</f>
        <v>61566.118691628842</v>
      </c>
      <c r="I46" s="160"/>
      <c r="J46" s="225"/>
    </row>
    <row r="47" spans="1:19">
      <c r="A47" s="637" t="s">
        <v>80</v>
      </c>
      <c r="B47" s="638"/>
      <c r="C47" s="14">
        <f>'LFR Data'!$J14+'LFR Data'!$O14+'LFR Data'!$Q14</f>
        <v>327109.41038922785</v>
      </c>
      <c r="D47" s="14">
        <f>'LFR Data'!$J15+'LFR Data'!$O15+'LFR Data'!$Q15</f>
        <v>340344.37426231266</v>
      </c>
      <c r="E47" s="14">
        <f>'LFR Data'!$J16+'LFR Data'!$O16+'LFR Data'!$Q16</f>
        <v>328276.70294894982</v>
      </c>
      <c r="F47" s="14">
        <f>'LFR Data'!$J17+'LFR Data'!$O17+'LFR Data'!$Q17</f>
        <v>336926.82596862898</v>
      </c>
      <c r="G47" s="14">
        <f>'LFR Data'!$J18+'LFR Data'!$O18+'LFR Data'!$Q18</f>
        <v>341061.86762937554</v>
      </c>
      <c r="H47" s="14">
        <f>'LFR Data'!$J19+'LFR Data'!$O19+'LFR Data'!$Q19</f>
        <v>332499.85407205904</v>
      </c>
      <c r="I47" s="160"/>
      <c r="J47" s="225" t="str">
        <f>IF(SUM(H47+H46+H45+H44+H43)=H42," ","Error")</f>
        <v xml:space="preserve"> </v>
      </c>
    </row>
    <row r="48" spans="1:19">
      <c r="A48" s="635" t="s">
        <v>81</v>
      </c>
      <c r="B48" s="636"/>
      <c r="C48" s="62">
        <f>'LFR Data'!$C14+'LFR Data'!$E14+'LFR Data'!$P14</f>
        <v>37265.449005143069</v>
      </c>
      <c r="D48" s="62">
        <f>'LFR Data'!$C15+'LFR Data'!$E15+'LFR Data'!$P15</f>
        <v>36639.950105511649</v>
      </c>
      <c r="E48" s="62">
        <f>'LFR Data'!$C16+'LFR Data'!$E16+'LFR Data'!$P16</f>
        <v>36359.782654054812</v>
      </c>
      <c r="F48" s="62">
        <f>'LFR Data'!$C17+'LFR Data'!$E17+'LFR Data'!$P17</f>
        <v>42538.369281673127</v>
      </c>
      <c r="G48" s="62">
        <f>'LFR Data'!$C18+'LFR Data'!$E18+'LFR Data'!$P18</f>
        <v>42046.753560514968</v>
      </c>
      <c r="H48" s="62">
        <f>'LFR Data'!$C19+'LFR Data'!$E19+'LFR Data'!$P19</f>
        <v>35804.812837374702</v>
      </c>
      <c r="I48" s="160"/>
      <c r="J48" s="225"/>
    </row>
    <row r="49" spans="1:17">
      <c r="A49" s="637" t="s">
        <v>82</v>
      </c>
      <c r="B49" s="638"/>
      <c r="C49" s="14">
        <f>'LFR Data'!$C14</f>
        <v>31332.464311578642</v>
      </c>
      <c r="D49" s="14">
        <f>'LFR Data'!$C15</f>
        <v>30999.315604993029</v>
      </c>
      <c r="E49" s="14">
        <f>'LFR Data'!$C16</f>
        <v>30151.332417582424</v>
      </c>
      <c r="F49" s="14">
        <f>'LFR Data'!$C17</f>
        <v>36111.764084785384</v>
      </c>
      <c r="G49" s="14">
        <f>'LFR Data'!$C18</f>
        <v>35870.863679989416</v>
      </c>
      <c r="H49" s="14">
        <f>'LFR Data'!$C19</f>
        <v>31747.906134864203</v>
      </c>
      <c r="I49" s="160"/>
      <c r="J49" s="225"/>
    </row>
    <row r="50" spans="1:17">
      <c r="A50" s="637" t="s">
        <v>83</v>
      </c>
      <c r="B50" s="638"/>
      <c r="C50" s="14">
        <f>'LFR Data'!$E14</f>
        <v>2968.8626962402882</v>
      </c>
      <c r="D50" s="14">
        <f>'LFR Data'!$E15</f>
        <v>3072.4190779355486</v>
      </c>
      <c r="E50" s="14">
        <f>'LFR Data'!$E16</f>
        <v>2791.396230351927</v>
      </c>
      <c r="F50" s="14">
        <f>'LFR Data'!$E17</f>
        <v>2817.5004799385679</v>
      </c>
      <c r="G50" s="14">
        <f>'LFR Data'!$E18</f>
        <v>3008.0567476033407</v>
      </c>
      <c r="H50" s="14">
        <f>'LFR Data'!$E19</f>
        <v>2465.3748607660018</v>
      </c>
      <c r="I50" s="160"/>
      <c r="J50" s="225"/>
    </row>
    <row r="51" spans="1:17">
      <c r="A51" s="637" t="s">
        <v>84</v>
      </c>
      <c r="B51" s="638"/>
      <c r="C51" s="14">
        <f>'LFR Data'!$P14</f>
        <v>2964.1219973241359</v>
      </c>
      <c r="D51" s="14">
        <f>'LFR Data'!$P15</f>
        <v>2568.2154225830682</v>
      </c>
      <c r="E51" s="14">
        <f>'LFR Data'!$P16</f>
        <v>3417.0540061204624</v>
      </c>
      <c r="F51" s="14">
        <f>'LFR Data'!$P17</f>
        <v>3609.1047169491717</v>
      </c>
      <c r="G51" s="14">
        <f>'LFR Data'!$P18</f>
        <v>3167.8331329222151</v>
      </c>
      <c r="H51" s="14">
        <f>'LFR Data'!$P19</f>
        <v>1591.5318417444953</v>
      </c>
      <c r="I51" s="160"/>
      <c r="J51" s="225" t="str">
        <f>IF(SUM(H51+H50+H49)=H48," ","Error")</f>
        <v xml:space="preserve"> </v>
      </c>
    </row>
    <row r="52" spans="1:17">
      <c r="A52" s="19"/>
      <c r="B52" s="19"/>
      <c r="C52" s="225"/>
      <c r="D52" s="225"/>
      <c r="E52" s="225"/>
      <c r="F52" s="225"/>
      <c r="G52" s="225"/>
      <c r="H52" s="13"/>
      <c r="I52" s="154"/>
    </row>
    <row r="53" spans="1:17" ht="30.75" customHeight="1">
      <c r="A53" s="692" t="str">
        <f>"Nationally, we have observed a shift in spend from older peoples services to childrens services over the period from 2003/04 to 2008/09.  The position in "&amp;C5&amp;" is shown below."</f>
        <v>Nationally, we have observed a shift in spend from older peoples services to childrens services over the period from 2003/04 to 2008/09.  The position in  is shown below.</v>
      </c>
      <c r="B53" s="692"/>
      <c r="C53" s="692"/>
      <c r="D53" s="692"/>
      <c r="E53" s="692"/>
      <c r="F53" s="692"/>
      <c r="G53" s="692"/>
      <c r="H53" s="692"/>
    </row>
    <row r="54" spans="1:17">
      <c r="A54" s="19"/>
      <c r="B54" s="19"/>
      <c r="C54" s="225"/>
      <c r="D54" s="225"/>
      <c r="E54" s="225"/>
      <c r="F54" s="225"/>
      <c r="G54" s="225"/>
      <c r="H54" s="13"/>
      <c r="I54" s="154"/>
    </row>
    <row r="55" spans="1:17">
      <c r="A55" s="88" t="str">
        <f>"Figure " &amp; $I$55</f>
        <v>Figure 3</v>
      </c>
      <c r="B55" s="19"/>
      <c r="C55" s="225"/>
      <c r="D55" s="225"/>
      <c r="E55" s="225"/>
      <c r="F55" s="225"/>
      <c r="G55" s="225"/>
      <c r="H55" s="13"/>
      <c r="I55" s="156">
        <f>$I$38+1</f>
        <v>3</v>
      </c>
      <c r="L55" s="711" t="s">
        <v>5</v>
      </c>
      <c r="M55" s="712"/>
      <c r="N55" s="712"/>
      <c r="O55" s="712"/>
      <c r="P55" s="712"/>
      <c r="Q55" s="713"/>
    </row>
    <row r="56" spans="1:17" ht="12.75" customHeight="1">
      <c r="C56" s="711" t="s">
        <v>5</v>
      </c>
      <c r="D56" s="712"/>
      <c r="E56" s="713"/>
      <c r="I56" s="159"/>
      <c r="J56" s="19"/>
      <c r="K56" s="19"/>
      <c r="L56" s="12" t="s">
        <v>2</v>
      </c>
      <c r="M56" s="12" t="s">
        <v>3</v>
      </c>
      <c r="N56" s="12" t="s">
        <v>4</v>
      </c>
      <c r="O56" s="12" t="s">
        <v>0</v>
      </c>
      <c r="P56" s="12" t="s">
        <v>1</v>
      </c>
      <c r="Q56" s="63" t="s">
        <v>28</v>
      </c>
    </row>
    <row r="57" spans="1:17" ht="22.5" customHeight="1">
      <c r="C57" s="117" t="s">
        <v>2</v>
      </c>
      <c r="D57" s="118" t="s">
        <v>28</v>
      </c>
      <c r="E57" s="162" t="s">
        <v>148</v>
      </c>
      <c r="I57" s="159"/>
      <c r="J57" s="658"/>
      <c r="K57" s="658"/>
      <c r="L57" s="62">
        <f>'LFR Data'!$B14</f>
        <v>3328018.0461279755</v>
      </c>
      <c r="M57" s="62">
        <f>'LFR Data'!$B15</f>
        <v>3447102.2536571412</v>
      </c>
      <c r="N57" s="62">
        <f>'LFR Data'!$B16</f>
        <v>3572868.534914453</v>
      </c>
      <c r="O57" s="62">
        <f>'LFR Data'!$B17</f>
        <v>3716888.2850383385</v>
      </c>
      <c r="P57" s="62">
        <f>'LFR Data'!$B18</f>
        <v>3791310.4133617221</v>
      </c>
      <c r="Q57" s="62">
        <f>'LFR Data'!$B19</f>
        <v>3732201.1145146098</v>
      </c>
    </row>
    <row r="58" spans="1:17">
      <c r="A58" s="64" t="s">
        <v>135</v>
      </c>
      <c r="B58" s="65"/>
      <c r="C58" s="228">
        <f>L58/L$57</f>
        <v>0.20948419538183219</v>
      </c>
      <c r="D58" s="227">
        <f>Q58/Q$57</f>
        <v>0.21441546883191301</v>
      </c>
      <c r="E58" s="163">
        <f>(D58-C58)*100</f>
        <v>0.49312734500808197</v>
      </c>
      <c r="I58" s="159"/>
      <c r="J58" s="635" t="s">
        <v>13</v>
      </c>
      <c r="K58" s="636"/>
      <c r="L58" s="62">
        <f>'LFR Data'!$F14</f>
        <v>697167.18260933622</v>
      </c>
      <c r="M58" s="62">
        <f>'LFR Data'!$F15</f>
        <v>735325.77613648563</v>
      </c>
      <c r="N58" s="62">
        <f>'LFR Data'!$F16</f>
        <v>767147.0919112534</v>
      </c>
      <c r="O58" s="62">
        <f>'LFR Data'!$F17</f>
        <v>786286.5319639087</v>
      </c>
      <c r="P58" s="62">
        <f>'LFR Data'!$F18</f>
        <v>815917.28479707008</v>
      </c>
      <c r="Q58" s="62">
        <f>'LFR Data'!$F19</f>
        <v>800241.65174363833</v>
      </c>
    </row>
    <row r="59" spans="1:17">
      <c r="A59" s="635" t="s">
        <v>77</v>
      </c>
      <c r="B59" s="636"/>
      <c r="C59" s="230">
        <f>L59/L$57</f>
        <v>0.77931831455392386</v>
      </c>
      <c r="D59" s="229">
        <f>Q59/Q$57</f>
        <v>0.77599104685714537</v>
      </c>
      <c r="E59" s="163">
        <f>(D59-C59)*100</f>
        <v>-0.33272676967784909</v>
      </c>
      <c r="I59" s="159"/>
      <c r="J59" s="635" t="s">
        <v>77</v>
      </c>
      <c r="K59" s="636"/>
      <c r="L59" s="62">
        <f>'LFR Data'!$H14+'LFR Data'!$J14+'LFR Data'!$K14+'LFR Data'!$L14+'LFR Data'!$M14+'LFR Data'!$O14+'LFR Data'!$Q14</f>
        <v>2593585.4145134967</v>
      </c>
      <c r="M59" s="62">
        <f>'LFR Data'!$H15+'LFR Data'!$J15+'LFR Data'!$K15+'LFR Data'!$L15+'LFR Data'!$M15+'LFR Data'!$O15+'LFR Data'!$Q15</f>
        <v>2675136.5274151438</v>
      </c>
      <c r="N59" s="62">
        <f>'LFR Data'!$H16+'LFR Data'!$J16+'LFR Data'!$K16+'LFR Data'!$L16+'LFR Data'!$M16+'LFR Data'!$O16+'LFR Data'!$Q16</f>
        <v>2769361.6603491441</v>
      </c>
      <c r="O59" s="62">
        <f>'LFR Data'!$H17+'LFR Data'!$J17+'LFR Data'!$K17+'LFR Data'!$L17+'LFR Data'!$M17+'LFR Data'!$O17+'LFR Data'!$Q17</f>
        <v>2888063.3837927571</v>
      </c>
      <c r="P59" s="62">
        <f>'LFR Data'!$H18+'LFR Data'!$J18+'LFR Data'!$K18+'LFR Data'!$L18+'LFR Data'!$M18+'LFR Data'!$O18+'LFR Data'!$Q18</f>
        <v>2933346.3750041369</v>
      </c>
      <c r="Q59" s="62">
        <f>'LFR Data'!$H19+'LFR Data'!$J19+'LFR Data'!$K19+'LFR Data'!$L19+'LFR Data'!$M19+'LFR Data'!$O19+'LFR Data'!$Q19</f>
        <v>2896154.6499335966</v>
      </c>
    </row>
    <row r="60" spans="1:17">
      <c r="A60" s="637" t="s">
        <v>78</v>
      </c>
      <c r="B60" s="638"/>
      <c r="C60" s="230">
        <f>L60/L$57</f>
        <v>0.44627462571758242</v>
      </c>
      <c r="D60" s="229">
        <f>Q60/Q$57</f>
        <v>0.44599325244693006</v>
      </c>
      <c r="E60" s="163">
        <f>(D60-C60)*100</f>
        <v>-2.8137327065236306E-2</v>
      </c>
      <c r="I60" s="159"/>
      <c r="J60" s="637" t="s">
        <v>78</v>
      </c>
      <c r="K60" s="638"/>
      <c r="L60" s="14">
        <f>'LFR Data'!$H14</f>
        <v>1485210.0079171222</v>
      </c>
      <c r="M60" s="14">
        <f>'LFR Data'!$H15</f>
        <v>1556828.935941915</v>
      </c>
      <c r="N60" s="14">
        <f>'LFR Data'!$H16</f>
        <v>1628402.5149534012</v>
      </c>
      <c r="O60" s="14">
        <f>'LFR Data'!$H17</f>
        <v>1684512.0090793085</v>
      </c>
      <c r="P60" s="14">
        <f>'LFR Data'!$H18</f>
        <v>1701830.4736505346</v>
      </c>
      <c r="Q60" s="14">
        <f>'LFR Data'!$H19</f>
        <v>1664536.5138484281</v>
      </c>
    </row>
    <row r="61" spans="1:17">
      <c r="A61" s="637" t="s">
        <v>79</v>
      </c>
      <c r="B61" s="638"/>
      <c r="C61" s="230">
        <f>L61/L$57</f>
        <v>0.16894061338157576</v>
      </c>
      <c r="D61" s="229">
        <f>Q61/Q$57</f>
        <v>0.1813202616117652</v>
      </c>
      <c r="E61" s="163">
        <f>(D61-C61)*100</f>
        <v>1.2379648230189444</v>
      </c>
      <c r="I61" s="159"/>
      <c r="J61" s="637" t="s">
        <v>79</v>
      </c>
      <c r="K61" s="638"/>
      <c r="L61" s="14">
        <f>'LFR Data'!$K14</f>
        <v>562237.41005781351</v>
      </c>
      <c r="M61" s="14">
        <f>'LFR Data'!$K15</f>
        <v>579034.15447619732</v>
      </c>
      <c r="N61" s="14">
        <f>'LFR Data'!$K16</f>
        <v>600762.4163652804</v>
      </c>
      <c r="O61" s="14">
        <f>'LFR Data'!$K17</f>
        <v>651913.34827730292</v>
      </c>
      <c r="P61" s="14">
        <f>'LFR Data'!$K18</f>
        <v>673361.59828786401</v>
      </c>
      <c r="Q61" s="14">
        <f>'LFR Data'!$K19</f>
        <v>676723.68247151072</v>
      </c>
    </row>
    <row r="62" spans="1:17">
      <c r="A62" s="637" t="s">
        <v>80</v>
      </c>
      <c r="B62" s="638"/>
      <c r="C62" s="232">
        <f>L62/L$57</f>
        <v>0.1641030754547656</v>
      </c>
      <c r="D62" s="231">
        <f>Q62/Q$57</f>
        <v>0.14867753279845011</v>
      </c>
      <c r="E62" s="164">
        <f>(D62-C62)*100</f>
        <v>-1.5425542656315487</v>
      </c>
      <c r="I62" s="159"/>
      <c r="J62" s="637" t="s">
        <v>80</v>
      </c>
      <c r="K62" s="638"/>
      <c r="L62" s="14">
        <f>'LFR Data'!$J14+'LFR Data'!$L14+'LFR Data'!$M14+'LFR Data'!$O14+'LFR Data'!$Q14</f>
        <v>546137.99653856072</v>
      </c>
      <c r="M62" s="14">
        <f>'LFR Data'!$J15+'LFR Data'!$L15+'LFR Data'!$M15+'LFR Data'!$O15+'LFR Data'!$Q15</f>
        <v>539273.43699703133</v>
      </c>
      <c r="N62" s="14">
        <f>'LFR Data'!$J16+'LFR Data'!$L16+'LFR Data'!$M16+'LFR Data'!$O16+'LFR Data'!$Q16</f>
        <v>540196.72903046326</v>
      </c>
      <c r="O62" s="14">
        <f>'LFR Data'!$J17+'LFR Data'!$L17+'LFR Data'!$M17+'LFR Data'!$O17+'LFR Data'!$Q17</f>
        <v>551638.02643614553</v>
      </c>
      <c r="P62" s="14">
        <f>'LFR Data'!$J18+'LFR Data'!$L18+'LFR Data'!$M18+'LFR Data'!$O18+'LFR Data'!$Q18</f>
        <v>558154.30306573864</v>
      </c>
      <c r="Q62" s="14">
        <f>'LFR Data'!$J19+'LFR Data'!$L19+'LFR Data'!$M19+'LFR Data'!$O19+'LFR Data'!$Q19</f>
        <v>554894.45361365797</v>
      </c>
    </row>
    <row r="63" spans="1:17">
      <c r="A63" s="715"/>
      <c r="B63" s="715"/>
      <c r="C63" s="230"/>
      <c r="D63" s="230"/>
      <c r="E63" s="112"/>
      <c r="F63" s="230"/>
      <c r="G63" s="230"/>
      <c r="H63" s="112"/>
      <c r="J63" s="635" t="s">
        <v>81</v>
      </c>
      <c r="K63" s="636"/>
      <c r="L63" s="62">
        <f>'LFR Data'!$C14+'LFR Data'!$E14+'LFR Data'!$P14</f>
        <v>37265.449005143069</v>
      </c>
      <c r="M63" s="62">
        <f>'LFR Data'!$C15+'LFR Data'!$E15+'LFR Data'!$P15</f>
        <v>36639.950105511649</v>
      </c>
      <c r="N63" s="62">
        <f>'LFR Data'!$C16+'LFR Data'!$E16+'LFR Data'!$P16</f>
        <v>36359.782654054812</v>
      </c>
      <c r="O63" s="62">
        <f>'LFR Data'!$C17+'LFR Data'!$E17+'LFR Data'!$P17</f>
        <v>42538.369281673127</v>
      </c>
      <c r="P63" s="62">
        <f>'LFR Data'!$C18+'LFR Data'!$E18+'LFR Data'!$P18</f>
        <v>42046.753560514968</v>
      </c>
      <c r="Q63" s="62">
        <f>'LFR Data'!$C19+'LFR Data'!$E19+'LFR Data'!$P19</f>
        <v>35804.812837374702</v>
      </c>
    </row>
    <row r="64" spans="1:17">
      <c r="A64" s="714" t="s">
        <v>6</v>
      </c>
      <c r="B64" s="714"/>
      <c r="C64" s="714"/>
      <c r="D64" s="714"/>
      <c r="E64" s="714"/>
      <c r="F64" s="714"/>
      <c r="G64" s="714"/>
      <c r="H64" s="714"/>
      <c r="J64" s="170"/>
      <c r="K64" s="170"/>
      <c r="L64" s="171"/>
      <c r="M64" s="171"/>
      <c r="N64" s="171"/>
      <c r="O64" s="171"/>
      <c r="P64" s="171"/>
      <c r="Q64" s="171"/>
    </row>
    <row r="65" spans="1:17" ht="33.75" customHeight="1">
      <c r="A65" s="714" t="s">
        <v>215</v>
      </c>
      <c r="B65" s="714"/>
      <c r="C65" s="714"/>
      <c r="D65" s="714"/>
      <c r="E65" s="714"/>
      <c r="F65" s="714"/>
      <c r="G65" s="714"/>
      <c r="H65" s="714"/>
      <c r="J65" s="170"/>
      <c r="K65" s="170"/>
      <c r="L65" s="171"/>
      <c r="M65" s="171"/>
      <c r="N65" s="171"/>
      <c r="O65" s="171"/>
      <c r="P65" s="171"/>
      <c r="Q65" s="171"/>
    </row>
    <row r="66" spans="1:17" ht="22.5" customHeight="1">
      <c r="A66" s="714" t="s">
        <v>214</v>
      </c>
      <c r="B66" s="714"/>
      <c r="C66" s="714"/>
      <c r="D66" s="714"/>
      <c r="E66" s="714"/>
      <c r="F66" s="714"/>
      <c r="G66" s="714"/>
      <c r="H66" s="714"/>
      <c r="J66" s="170"/>
      <c r="K66" s="170"/>
      <c r="L66" s="171"/>
      <c r="M66" s="171"/>
      <c r="N66" s="171"/>
      <c r="O66" s="171"/>
      <c r="P66" s="171"/>
      <c r="Q66" s="171"/>
    </row>
    <row r="67" spans="1:17">
      <c r="A67" s="170"/>
      <c r="B67" s="170"/>
      <c r="C67" s="230"/>
      <c r="D67" s="230"/>
      <c r="E67" s="112"/>
      <c r="F67" s="230"/>
      <c r="G67" s="230"/>
      <c r="H67" s="112"/>
      <c r="J67" s="170"/>
      <c r="K67" s="170"/>
      <c r="L67" s="171"/>
      <c r="M67" s="171"/>
      <c r="N67" s="171"/>
      <c r="O67" s="171"/>
      <c r="P67" s="171"/>
      <c r="Q67" s="171"/>
    </row>
    <row r="68" spans="1:17">
      <c r="A68" s="88" t="str">
        <f>"Figure " &amp; $I$68 &amp; "- " &amp; $C$5 &amp; " expenditure by service area"</f>
        <v>Figure 4-  expenditure by service area</v>
      </c>
      <c r="C68" s="230"/>
      <c r="D68" s="230"/>
      <c r="E68" s="230"/>
      <c r="F68" s="230"/>
      <c r="G68" s="230"/>
      <c r="I68" s="156">
        <f>$I$55+1</f>
        <v>4</v>
      </c>
    </row>
    <row r="76" spans="1:17" ht="12.75" customHeight="1"/>
    <row r="77" spans="1:17" ht="12.75" customHeight="1">
      <c r="J77" s="106"/>
      <c r="K77" s="91"/>
      <c r="L77" s="67" t="s">
        <v>13</v>
      </c>
      <c r="M77" s="67" t="s">
        <v>85</v>
      </c>
      <c r="N77" s="67" t="s">
        <v>86</v>
      </c>
      <c r="O77" s="67" t="s">
        <v>87</v>
      </c>
      <c r="P77" s="67" t="s">
        <v>81</v>
      </c>
    </row>
    <row r="78" spans="1:17">
      <c r="J78" s="629" t="str">
        <f>C39</f>
        <v>2003/04</v>
      </c>
      <c r="K78" s="629"/>
      <c r="L78" s="14">
        <f>C41</f>
        <v>697167.18260933622</v>
      </c>
      <c r="M78" s="14">
        <f>C43</f>
        <v>1485210.0079171222</v>
      </c>
      <c r="N78" s="14">
        <f>C44</f>
        <v>562237.41005781351</v>
      </c>
      <c r="O78" s="14">
        <f>C47</f>
        <v>327109.41038922785</v>
      </c>
      <c r="P78" s="14">
        <f>C48</f>
        <v>37265.449005143069</v>
      </c>
    </row>
    <row r="79" spans="1:17">
      <c r="J79" s="629" t="str">
        <f>H39</f>
        <v>2008/09</v>
      </c>
      <c r="K79" s="629"/>
      <c r="L79" s="14">
        <f>H41</f>
        <v>800241.65174363833</v>
      </c>
      <c r="M79" s="14">
        <f>H43</f>
        <v>1664536.5138484281</v>
      </c>
      <c r="N79" s="14">
        <f>H44</f>
        <v>676723.68247151072</v>
      </c>
      <c r="O79" s="14">
        <f>H47</f>
        <v>332499.85407205904</v>
      </c>
      <c r="P79" s="14">
        <f>H48</f>
        <v>35804.812837374702</v>
      </c>
    </row>
    <row r="86" spans="1:9">
      <c r="A86" t="s">
        <v>99</v>
      </c>
    </row>
    <row r="89" spans="1:9">
      <c r="A89" s="88" t="str">
        <f>"Figure "&amp;$I$89&amp;" - Total social work spend per head across Scotland"</f>
        <v>Figure 5 - Total social work spend per head across Scotland</v>
      </c>
      <c r="I89" s="156">
        <f>$I$68+1</f>
        <v>5</v>
      </c>
    </row>
    <row r="109" spans="1:8">
      <c r="A109" s="50"/>
    </row>
    <row r="110" spans="1:8" ht="27" customHeight="1">
      <c r="A110" s="704" t="str">
        <f>"- The average spend per head nationally in 2008/09 was £"&amp;ROUND('Per Capita Data - Overall'!D39,0) &amp; " (represented by the horizontal line)"</f>
        <v>- The average spend per head nationally in 2008/09 was £738 (represented by the horizontal line)</v>
      </c>
      <c r="B110" s="694"/>
      <c r="C110" s="694"/>
      <c r="D110" s="694"/>
      <c r="E110" s="694"/>
      <c r="F110" s="694"/>
      <c r="G110" s="694"/>
      <c r="H110" s="694"/>
    </row>
    <row r="111" spans="1:8">
      <c r="A111" t="str">
        <f>"- The range of spend per head in 2008/09 was £"&amp;ROUND('Per Capita Data - Overall'!D37,0)&amp;" to £"&amp;ROUND('Per Capita Data - Overall'!D38,0)</f>
        <v>- The range of spend per head in 2008/09 was £544 to £1463</v>
      </c>
    </row>
    <row r="112" spans="1:8" ht="7.5" customHeight="1"/>
    <row r="113" spans="1:17" ht="18">
      <c r="A113" s="701" t="s">
        <v>138</v>
      </c>
      <c r="B113" s="701"/>
      <c r="C113" s="701"/>
      <c r="D113" s="701"/>
      <c r="E113" s="701"/>
      <c r="F113" s="701"/>
      <c r="G113" s="701"/>
      <c r="H113" s="701"/>
    </row>
    <row r="114" spans="1:17" ht="10.5" customHeight="1">
      <c r="A114" s="127"/>
      <c r="B114" s="127"/>
      <c r="C114" s="127"/>
      <c r="D114" s="127"/>
      <c r="E114" s="127"/>
      <c r="F114" s="127"/>
      <c r="G114" s="127"/>
      <c r="H114" s="127"/>
    </row>
    <row r="115" spans="1:17" ht="27.75" customHeight="1">
      <c r="A115" s="693" t="str">
        <f>"Figure " &amp; $I$115 &amp; " - " &amp; $C$5 &amp; " and Scotland's movement in children and families social work expenditure"</f>
        <v>Figure 6 -  and Scotland's movement in children and families social work expenditure</v>
      </c>
      <c r="B115" s="694"/>
      <c r="C115" s="694"/>
      <c r="D115" s="694"/>
      <c r="E115" s="694"/>
      <c r="F115" s="694"/>
      <c r="G115" s="694"/>
      <c r="H115" s="694"/>
      <c r="I115" s="156">
        <f>$I$89+1</f>
        <v>6</v>
      </c>
    </row>
    <row r="117" spans="1:17">
      <c r="J117" t="s">
        <v>13</v>
      </c>
    </row>
    <row r="118" spans="1:17" ht="25.5">
      <c r="J118" s="106"/>
      <c r="K118" s="91"/>
      <c r="L118" s="10" t="s">
        <v>136</v>
      </c>
      <c r="M118" s="10" t="s">
        <v>3</v>
      </c>
      <c r="N118" s="10" t="s">
        <v>4</v>
      </c>
      <c r="O118" s="10" t="s">
        <v>0</v>
      </c>
      <c r="P118" s="10" t="s">
        <v>1</v>
      </c>
      <c r="Q118" s="10" t="s">
        <v>28</v>
      </c>
    </row>
    <row r="119" spans="1:17">
      <c r="J119" s="629">
        <f>C5</f>
        <v>0</v>
      </c>
      <c r="K119" s="629"/>
      <c r="L119" s="226">
        <f>('LFR Data'!$F2)/('LFR Data'!$F$2)-1</f>
        <v>0</v>
      </c>
      <c r="M119" s="226">
        <f>('LFR Data'!$F3)/('LFR Data'!$F$2)-1</f>
        <v>7.8816197669947963E-2</v>
      </c>
      <c r="N119" s="226">
        <f>('LFR Data'!$F4)/('LFR Data'!$F$2)-1</f>
        <v>0.10603670453265046</v>
      </c>
      <c r="O119" s="226">
        <f>('LFR Data'!$F5)/('LFR Data'!$F$2)-1</f>
        <v>0.20999457037622826</v>
      </c>
      <c r="P119" s="226">
        <f>('LFR Data'!$F6)/('LFR Data'!$F$2)-1</f>
        <v>0.18706147511778926</v>
      </c>
      <c r="Q119" s="226">
        <f>('LFR Data'!$F7)/('LFR Data'!$F$2)-1</f>
        <v>0.13235694456794334</v>
      </c>
    </row>
    <row r="120" spans="1:17">
      <c r="J120" s="629" t="s">
        <v>5</v>
      </c>
      <c r="K120" s="629"/>
      <c r="L120" s="226">
        <f>('LFR Data'!$F14)/('LFR Data'!$F$14)-1</f>
        <v>0</v>
      </c>
      <c r="M120" s="226">
        <f>('LFR Data'!$F15)/('LFR Data'!$F$14)-1</f>
        <v>5.4733777606012168E-2</v>
      </c>
      <c r="N120" s="226">
        <f>('LFR Data'!$F16)/('LFR Data'!$F$14)-1</f>
        <v>0.100377514959896</v>
      </c>
      <c r="O120" s="226">
        <f>('LFR Data'!$F17)/('LFR Data'!$F$14)-1</f>
        <v>0.12783067186412778</v>
      </c>
      <c r="P120" s="226">
        <f>('LFR Data'!$F18)/('LFR Data'!$F$14)-1</f>
        <v>0.17033231791444847</v>
      </c>
      <c r="Q120" s="226">
        <f>('LFR Data'!$F19)/('LFR Data'!$F$14)-1</f>
        <v>0.14784756326096438</v>
      </c>
    </row>
    <row r="125" spans="1:17">
      <c r="M125" s="11"/>
    </row>
    <row r="131" spans="1:17">
      <c r="A131" s="16" t="str">
        <f>"- Over the period, spend has moved from £"&amp;ROUND('LFR Data'!F14,-2)/1000&amp;" million to £"&amp;ROUND('LFR Data'!F19,-2)/1000&amp;" million (in real terms)"</f>
        <v>- Over the period, spend has moved from £697.2 million to £800.2 million (in real terms)</v>
      </c>
      <c r="N131" s="233"/>
    </row>
    <row r="132" spans="1:17">
      <c r="A132" s="16" t="str">
        <f>"- This represents a movements of "&amp;ROUND('LFR Data'!F24*100,0)&amp;"%"</f>
        <v>- This represents a movements of 22%</v>
      </c>
    </row>
    <row r="133" spans="1:17">
      <c r="A133" s="695" t="str">
        <f>"- As a proportion of total spend, C&amp;F accounts for "&amp;ROUND($D$58,3)*100&amp;"% ("&amp;ROUND($C$58,3)*100&amp;"% in 2003/04)"</f>
        <v>- As a proportion of total spend, C&amp;F accounts for 21.4% (20.9% in 2003/04)</v>
      </c>
      <c r="B133" s="694"/>
      <c r="C133" s="694"/>
      <c r="D133" s="694"/>
      <c r="E133" s="694"/>
      <c r="F133" s="694"/>
      <c r="G133" s="694"/>
      <c r="H133" s="694"/>
    </row>
    <row r="134" spans="1:17">
      <c r="A134" s="695"/>
      <c r="B134" s="694"/>
      <c r="C134" s="694"/>
      <c r="D134" s="694"/>
      <c r="E134" s="694"/>
      <c r="F134" s="694"/>
      <c r="G134" s="694"/>
      <c r="H134" s="694"/>
    </row>
    <row r="136" spans="1:17">
      <c r="A136" s="157"/>
      <c r="B136" s="150"/>
      <c r="C136" s="150"/>
      <c r="D136" s="150"/>
      <c r="E136" s="150"/>
      <c r="F136" s="150"/>
      <c r="G136" s="150"/>
      <c r="H136" s="150"/>
    </row>
    <row r="137" spans="1:17" ht="28.5" customHeight="1">
      <c r="A137" s="693" t="str">
        <f>"Figure " &amp; $I$137 &amp; " - " &amp; $C$5 &amp; " and Scotland's children and families social work expenditure"</f>
        <v>Figure 7 -  and Scotland's children and families social work expenditure</v>
      </c>
      <c r="B137" s="694"/>
      <c r="C137" s="694"/>
      <c r="D137" s="694"/>
      <c r="E137" s="694"/>
      <c r="F137" s="694"/>
      <c r="G137" s="694"/>
      <c r="H137" s="694"/>
      <c r="I137" s="156">
        <f>$I$115+1</f>
        <v>7</v>
      </c>
    </row>
    <row r="141" spans="1:17">
      <c r="J141" s="106"/>
      <c r="K141" s="91"/>
      <c r="L141" s="10" t="s">
        <v>2</v>
      </c>
      <c r="M141" s="10" t="s">
        <v>3</v>
      </c>
      <c r="N141" s="10" t="s">
        <v>4</v>
      </c>
      <c r="O141" s="10" t="s">
        <v>0</v>
      </c>
      <c r="P141" s="10" t="s">
        <v>1</v>
      </c>
      <c r="Q141" s="10" t="s">
        <v>28</v>
      </c>
    </row>
    <row r="142" spans="1:17">
      <c r="J142" s="629">
        <f>$C$5</f>
        <v>0</v>
      </c>
      <c r="K142" s="629"/>
      <c r="L142" s="234" t="e">
        <f>VLOOKUP(Scotland!$C$5,'2003-04'!$O$2:$AA$34,5)</f>
        <v>#N/A</v>
      </c>
      <c r="M142" s="234" t="e">
        <f>VLOOKUP(Scotland!$C$5,'2004-05'!$O$2:$AA$34,5)</f>
        <v>#N/A</v>
      </c>
      <c r="N142" s="234" t="e">
        <f>VLOOKUP(Scotland!$C$5,'2005-06'!$O$2:$AA$34,5)</f>
        <v>#N/A</v>
      </c>
      <c r="O142" s="234" t="e">
        <f>VLOOKUP(Scotland!$C$5,'2006-07'!$O$2:$AA$34,5)</f>
        <v>#N/A</v>
      </c>
      <c r="P142" s="234" t="e">
        <f>VLOOKUP(Scotland!$C$5,'2007-08'!$O$2:$AA$34,5)</f>
        <v>#N/A</v>
      </c>
      <c r="Q142" s="234" t="e">
        <f>VLOOKUP(Scotland!$C$5,'2008-09'!$O$2:$AA$34,5)</f>
        <v>#N/A</v>
      </c>
    </row>
    <row r="143" spans="1:17">
      <c r="J143" s="629" t="s">
        <v>5</v>
      </c>
      <c r="K143" s="629"/>
      <c r="L143" s="234">
        <f>'2003-04'!$S$35</f>
        <v>564.74904481833971</v>
      </c>
      <c r="M143" s="234">
        <f>'2004-05'!$S$35</f>
        <v>619.27459161801517</v>
      </c>
      <c r="N143" s="234">
        <f>'2005-06'!$S$35</f>
        <v>658.30916738604049</v>
      </c>
      <c r="O143" s="234">
        <f>'2006-07'!$S$35</f>
        <v>700.18356310428169</v>
      </c>
      <c r="P143" s="234">
        <f>'2007-08'!$S$35</f>
        <v>732.4250190339128</v>
      </c>
      <c r="Q143" s="234">
        <f>'2008-09'!$S$35</f>
        <v>751.9286558903126</v>
      </c>
    </row>
    <row r="144" spans="1:17">
      <c r="K144" t="s">
        <v>160</v>
      </c>
      <c r="L144" s="11">
        <f>MIN('2003-04'!$S$3:$S$34)</f>
        <v>209.28037421848165</v>
      </c>
      <c r="M144" s="11">
        <f>MIN('2004-05'!$S$3:$S$34)</f>
        <v>261.67783970958658</v>
      </c>
      <c r="N144" s="11">
        <f>MIN('2005-06'!$S$3:$S$34)</f>
        <v>248.67706729007546</v>
      </c>
      <c r="O144" s="11">
        <f>MIN('2006-07'!$S$3:$S$34)</f>
        <v>276.83438973215533</v>
      </c>
      <c r="P144" s="11">
        <f>MIN('2007-08'!$S$3:$S$34)</f>
        <v>306.79223231781197</v>
      </c>
      <c r="Q144" s="11">
        <f>MIN('2008-09'!$S$3:$S$34)</f>
        <v>330.88971614722914</v>
      </c>
    </row>
    <row r="145" spans="1:17">
      <c r="K145" t="s">
        <v>161</v>
      </c>
      <c r="L145" s="11">
        <f>MAX('2003-04'!$S$3:$S$34)</f>
        <v>1004.8155113616675</v>
      </c>
      <c r="M145" s="11">
        <f>MAX('2004-05'!$S$3:$S$34)</f>
        <v>1189.0082917032444</v>
      </c>
      <c r="N145" s="11">
        <f>MAX('2005-06'!$S$3:$S$34)</f>
        <v>1245.2543575449426</v>
      </c>
      <c r="O145" s="11">
        <f>MAX('2006-07'!$S$3:$S$34)</f>
        <v>1216.3743439353234</v>
      </c>
      <c r="P145" s="11">
        <f>MAX('2007-08'!$S$3:$S$34)</f>
        <v>1288.4604786419095</v>
      </c>
      <c r="Q145" s="11">
        <f>MAX('2008-09'!$S$3:$S$34)</f>
        <v>1320.9611929470636</v>
      </c>
    </row>
    <row r="156" spans="1:17">
      <c r="A156" s="50" t="str">
        <f>"- Per head of population aged 0-17 in 2008/09:"</f>
        <v>- Per head of population aged 0-17 in 2008/09:</v>
      </c>
    </row>
    <row r="157" spans="1:17">
      <c r="A157" s="50" t="str">
        <f>"      - The average spend per head across Scotland has moved from £"&amp;ROUND(L143,0)&amp;" to £"&amp;ROUND(Q143,0)</f>
        <v xml:space="preserve">      - The average spend per head across Scotland has moved from £565 to £752</v>
      </c>
    </row>
    <row r="158" spans="1:17">
      <c r="A158" s="50" t="str">
        <f>"      - The lowest spend per head across Scotland moved from £"&amp;ROUND(L144,0)&amp;" to £"&amp;ROUND(Q144,0)</f>
        <v xml:space="preserve">      - The lowest spend per head across Scotland moved from £209 to £331</v>
      </c>
    </row>
    <row r="159" spans="1:17">
      <c r="A159" s="50" t="str">
        <f>"      - The highest spend per head across Scotland moved from £"&amp;ROUND(L145,0)&amp;" to £"&amp;ROUND(Q145,0)</f>
        <v xml:space="preserve">      - The highest spend per head across Scotland moved from £1005 to £1321</v>
      </c>
    </row>
    <row r="160" spans="1:17">
      <c r="A160" s="88" t="str">
        <f>"Figure " &amp; $I$160 &amp; " - " &amp; " Children and families social work spend per head across Scotland"</f>
        <v>Figure 8 -  Children and families social work spend per head across Scotland</v>
      </c>
      <c r="I160" s="156">
        <f>$I$137+1</f>
        <v>8</v>
      </c>
    </row>
    <row r="180" spans="1:17">
      <c r="A180" s="695"/>
      <c r="B180" s="694"/>
      <c r="C180" s="694"/>
      <c r="D180" s="694"/>
      <c r="E180" s="694"/>
      <c r="F180" s="694"/>
      <c r="G180" s="694"/>
      <c r="H180" s="694"/>
    </row>
    <row r="181" spans="1:17">
      <c r="A181" s="50" t="str">
        <f>"- The average spend per head, nationally, in 2008/09 was £"&amp;ROUND('Per Capita Data - C&amp;F'!D39,0)</f>
        <v>- The average spend per head, nationally, in 2008/09 was £856</v>
      </c>
    </row>
    <row r="182" spans="1:17">
      <c r="A182" t="str">
        <f>"- The range of spend per head in 2008/09 was £"&amp;ROUND('Per Capita Data - C&amp;F'!D37,0)&amp;" to £"&amp;ROUND('Per Capita Data - C&amp;F'!D38,0)</f>
        <v>- The range of spend per head in 2008/09 was £380 to £1397</v>
      </c>
    </row>
    <row r="185" spans="1:17" ht="27" customHeight="1">
      <c r="A185" s="693" t="str">
        <f>"Figure " &amp; $I$185 &amp; " - " &amp; "  Scotland's rate of children aged 0-17 looked after away from home"</f>
        <v>Figure 9 -   Scotland's rate of children aged 0-17 looked after away from home</v>
      </c>
      <c r="B185" s="694"/>
      <c r="C185" s="694"/>
      <c r="D185" s="694"/>
      <c r="E185" s="694"/>
      <c r="F185" s="694"/>
      <c r="G185" s="694"/>
      <c r="H185" s="694"/>
      <c r="I185" s="156">
        <f>$I$160+1</f>
        <v>9</v>
      </c>
    </row>
    <row r="188" spans="1:17">
      <c r="J188" s="1" t="s">
        <v>130</v>
      </c>
    </row>
    <row r="190" spans="1:17">
      <c r="J190" s="106"/>
      <c r="K190" s="91"/>
      <c r="L190" s="91">
        <v>2005</v>
      </c>
      <c r="M190" s="91">
        <v>2006</v>
      </c>
      <c r="N190" s="91">
        <v>2007</v>
      </c>
      <c r="O190" s="91">
        <v>2008</v>
      </c>
      <c r="P190" s="91">
        <v>2009</v>
      </c>
      <c r="Q190" s="3"/>
    </row>
    <row r="191" spans="1:17">
      <c r="J191" s="629">
        <f>$C$5</f>
        <v>0</v>
      </c>
      <c r="K191" s="629"/>
      <c r="L191" s="93" t="str">
        <f>IF(NOT(ISNUMBER(VLOOKUP($C$5,'Statistics - Children'!$A$13:$O$46,7))),"",VLOOKUP($C$5,'Statistics - Children'!$A$13:$O$46,7))</f>
        <v/>
      </c>
      <c r="M191" s="93" t="str">
        <f>IF(NOT(ISNUMBER(VLOOKUP($C$5,'Statistics - Children'!$A$13:$O$46,8))),"",VLOOKUP($C$5,'Statistics - Children'!$A$13:$O$46,8))</f>
        <v/>
      </c>
      <c r="N191" s="93" t="str">
        <f>IF(NOT(ISNUMBER(VLOOKUP($C$5,'Statistics - Children'!$A$13:$O$46,9))),"",VLOOKUP($C$5,'Statistics - Children'!$A$13:$O$46,9))</f>
        <v/>
      </c>
      <c r="O191" s="93" t="str">
        <f>IF(NOT(ISNUMBER(VLOOKUP($C$5,'Statistics - Children'!$A$13:$O$46,10))),"",VLOOKUP($C$5,'Statistics - Children'!$A$13:$O$46,10))</f>
        <v/>
      </c>
      <c r="P191" s="93" t="str">
        <f>IF(NOT(ISNUMBER(VLOOKUP($C$5,'Statistics - Children'!$A$13:$O$46,11))),"",VLOOKUP($C$5,'Statistics - Children'!$A$13:$O$46,11))</f>
        <v/>
      </c>
      <c r="Q191" s="129"/>
    </row>
    <row r="192" spans="1:17">
      <c r="J192" s="629" t="s">
        <v>5</v>
      </c>
      <c r="K192" s="629"/>
      <c r="L192" s="93">
        <f>'Statistics - Children'!K46</f>
        <v>13.967827215208604</v>
      </c>
      <c r="M192" s="93">
        <f>'Statistics - Children'!L46</f>
        <v>14.479393091471398</v>
      </c>
      <c r="N192" s="93">
        <f>'Statistics - Children'!M46</f>
        <v>15.072729662897844</v>
      </c>
      <c r="O192" s="93">
        <f>'Statistics - Children'!N46</f>
        <v>15.478316000844062</v>
      </c>
      <c r="P192" s="93">
        <f>'Statistics - Children'!O46</f>
        <v>15.443478194112036</v>
      </c>
      <c r="Q192" s="129"/>
    </row>
    <row r="193" spans="1:16">
      <c r="K193" t="s">
        <v>160</v>
      </c>
      <c r="L193" s="90">
        <f>MIN('Statistics - Children'!K$14:K$45)</f>
        <v>4.6183223056085971</v>
      </c>
      <c r="M193" s="90">
        <f>MIN('Statistics - Children'!L$14:L$45)</f>
        <v>5.7964502359020447</v>
      </c>
      <c r="N193" s="90">
        <f>MIN('Statistics - Children'!M$14:M$45)</f>
        <v>6.180186778978209</v>
      </c>
      <c r="O193" s="90">
        <f>MIN('Statistics - Children'!N$14:N$45)</f>
        <v>4.5500505561172906</v>
      </c>
      <c r="P193" s="90">
        <f>MIN('Statistics - Children'!O$14:O$45)</f>
        <v>6.0760486083888665</v>
      </c>
    </row>
    <row r="194" spans="1:16">
      <c r="K194" t="s">
        <v>161</v>
      </c>
      <c r="L194" s="90">
        <f>MAX('Statistics - Children'!K$14:K$45)</f>
        <v>26.805652240735551</v>
      </c>
      <c r="M194" s="90">
        <f>MAX('Statistics - Children'!L$14:L$45)</f>
        <v>28.847723932724932</v>
      </c>
      <c r="N194" s="90">
        <f>MAX('Statistics - Children'!M$14:M$45)</f>
        <v>31.26839917028234</v>
      </c>
      <c r="O194" s="90">
        <f>MAX('Statistics - Children'!N$14:N$45)</f>
        <v>33.970796556608917</v>
      </c>
      <c r="P194" s="90">
        <f>MAX('Statistics - Children'!O$14:O$45)</f>
        <v>33.682986908748717</v>
      </c>
    </row>
    <row r="201" spans="1:16" ht="9.75" customHeight="1"/>
    <row r="202" spans="1:16" ht="28.5" customHeight="1">
      <c r="A202" s="692"/>
      <c r="B202" s="692"/>
      <c r="C202" s="692"/>
      <c r="D202" s="692"/>
      <c r="E202" s="692"/>
      <c r="F202" s="692"/>
      <c r="G202" s="692"/>
      <c r="H202" s="692"/>
    </row>
    <row r="203" spans="1:16">
      <c r="A203" t="str">
        <f>"- The average rate, nationally, was " &amp; TEXT($P$192,"0.0") &amp; " per 1,000 population aged 0-17"</f>
        <v>- The average rate, nationally, was 15.4 per 1,000 population aged 0-17</v>
      </c>
    </row>
    <row r="204" spans="1:16">
      <c r="A204" t="str">
        <f>"- The minimum rate, nationally, moved from "&amp;TEXT($L$193,"0.0")&amp;" to "&amp;TEXT($P$193,"0.0")&amp;" per 1,000 population aged 0-17"</f>
        <v>- The minimum rate, nationally, moved from 4.6 to 6.1 per 1,000 population aged 0-17</v>
      </c>
    </row>
    <row r="205" spans="1:16">
      <c r="A205" t="str">
        <f>"- The maximum rate, nationally, moved from "&amp;TEXT($L$194,"0.0")&amp;" to "&amp;TEXT($P$194,"0.0")&amp;" per 1,000 population aged 0-17"</f>
        <v>- The maximum rate, nationally, moved from 26.8 to 33.7 per 1,000 population aged 0-17</v>
      </c>
    </row>
    <row r="207" spans="1:16" ht="29.25" customHeight="1">
      <c r="A207" s="693" t="str">
        <f>"Figure " &amp; $I$207 &amp; " - Scotland's children aged 0-17 looked after away from home (age breakdown)"</f>
        <v>Figure 10 - Scotland's children aged 0-17 looked after away from home (age breakdown)</v>
      </c>
      <c r="B207" s="694"/>
      <c r="C207" s="694"/>
      <c r="D207" s="694"/>
      <c r="E207" s="694"/>
      <c r="F207" s="694"/>
      <c r="G207" s="694"/>
      <c r="H207" s="694"/>
      <c r="I207" s="156">
        <f>I185+1</f>
        <v>10</v>
      </c>
    </row>
    <row r="208" spans="1:16">
      <c r="A208" s="105"/>
      <c r="K208" s="189" t="s">
        <v>196</v>
      </c>
    </row>
    <row r="209" spans="1:18">
      <c r="K209" s="189" t="str">
        <f>"Children looked after away from home by age group (" &amp; $C$5 &amp; ")"</f>
        <v>Children looked after away from home by age group ()</v>
      </c>
    </row>
    <row r="210" spans="1:18">
      <c r="A210" s="692"/>
      <c r="B210" s="692"/>
      <c r="C210" s="692"/>
      <c r="D210" s="692"/>
      <c r="E210" s="692"/>
      <c r="F210" s="692"/>
      <c r="G210" s="692"/>
      <c r="H210" s="692"/>
      <c r="K210" s="666">
        <f>$C$5</f>
        <v>0</v>
      </c>
      <c r="L210" s="666"/>
      <c r="M210" s="666"/>
      <c r="N210" s="666"/>
      <c r="O210" s="666"/>
    </row>
    <row r="212" spans="1:18">
      <c r="K212" s="126"/>
      <c r="L212" s="126"/>
      <c r="M212" s="126"/>
      <c r="N212" s="126"/>
      <c r="O212" s="126"/>
      <c r="Q212" s="233"/>
    </row>
    <row r="213" spans="1:18">
      <c r="J213" s="16"/>
      <c r="K213" s="126"/>
      <c r="L213" s="126"/>
      <c r="M213" s="126"/>
      <c r="N213" s="126"/>
      <c r="O213" s="126"/>
      <c r="Q213" s="233"/>
    </row>
    <row r="214" spans="1:18">
      <c r="J214" s="16"/>
      <c r="K214" s="126"/>
      <c r="L214" s="126"/>
      <c r="M214" s="126"/>
      <c r="N214" s="126"/>
      <c r="O214" s="126"/>
      <c r="Q214" s="233"/>
    </row>
    <row r="216" spans="1:18">
      <c r="K216" s="666" t="s">
        <v>5</v>
      </c>
      <c r="L216" s="666"/>
      <c r="M216" s="666"/>
      <c r="N216" s="666"/>
      <c r="O216" s="666"/>
    </row>
    <row r="217" spans="1:18">
      <c r="K217">
        <v>2005</v>
      </c>
      <c r="L217">
        <v>2006</v>
      </c>
      <c r="M217">
        <v>2007</v>
      </c>
      <c r="N217">
        <v>2008</v>
      </c>
      <c r="O217">
        <v>2009</v>
      </c>
      <c r="Q217" t="s">
        <v>153</v>
      </c>
    </row>
    <row r="218" spans="1:18">
      <c r="J218" t="s">
        <v>154</v>
      </c>
      <c r="K218">
        <f>'Statistics - Children'!B91</f>
        <v>1722</v>
      </c>
      <c r="L218">
        <f>'Statistics - Children'!C91</f>
        <v>1872</v>
      </c>
      <c r="M218">
        <f>'Statistics - Children'!D91</f>
        <v>2161</v>
      </c>
      <c r="N218">
        <f>'Statistics - Children'!E91</f>
        <v>2175</v>
      </c>
      <c r="O218">
        <f>'Statistics - Children'!H91</f>
        <v>2408</v>
      </c>
      <c r="Q218" s="233">
        <f>(O218-K218)/K218</f>
        <v>0.3983739837398374</v>
      </c>
      <c r="R218" t="str">
        <f>IF(Q218&gt;0,"n increase",IF(Q218&lt;0," decrease","no change"))</f>
        <v>n increase</v>
      </c>
    </row>
    <row r="219" spans="1:18">
      <c r="J219" s="16" t="s">
        <v>151</v>
      </c>
      <c r="K219">
        <f>'Statistics - Children'!K91</f>
        <v>2808</v>
      </c>
      <c r="L219">
        <f>'Statistics - Children'!L91</f>
        <v>3088</v>
      </c>
      <c r="M219">
        <f>'Statistics - Children'!M91</f>
        <v>3483</v>
      </c>
      <c r="N219">
        <f>'Statistics - Children'!N91</f>
        <v>3693</v>
      </c>
      <c r="O219">
        <f>'Statistics - Children'!Q91</f>
        <v>4201</v>
      </c>
      <c r="Q219" s="233">
        <f>(O219-K219)/K219</f>
        <v>0.49608262108262108</v>
      </c>
      <c r="R219" t="str">
        <f>IF(Q219&gt;0,"n increase",IF(Q219&lt;0," decrease","no change"))</f>
        <v>n increase</v>
      </c>
    </row>
    <row r="220" spans="1:18">
      <c r="J220" s="16" t="s">
        <v>152</v>
      </c>
      <c r="K220">
        <f>'Statistics - Children'!T91</f>
        <v>3356</v>
      </c>
      <c r="L220">
        <f>'Statistics - Children'!U91</f>
        <v>3420</v>
      </c>
      <c r="M220">
        <f>'Statistics - Children'!V91</f>
        <v>3602</v>
      </c>
      <c r="N220">
        <f>'Statistics - Children'!W91</f>
        <v>3693</v>
      </c>
      <c r="O220">
        <f>'Statistics - Children'!Z91</f>
        <v>4527</v>
      </c>
      <c r="Q220" s="233">
        <f>(O220-K220)/K220</f>
        <v>0.34892729439809295</v>
      </c>
      <c r="R220" t="str">
        <f>IF(Q220&gt;0,"n increase",IF(Q220&lt;0," decrease","no change"))</f>
        <v>n increase</v>
      </c>
    </row>
    <row r="222" spans="1:18" ht="15.75" customHeight="1"/>
    <row r="223" spans="1:18" ht="15.75" customHeight="1"/>
    <row r="225" spans="1:9" ht="32.25" customHeight="1">
      <c r="A225" s="694" t="str">
        <f>"- At March 2009, there were "&amp;$O$218&amp;" children looked after away from home aged 0-4 (2005:"&amp;K218&amp;").  This represents a movement of "&amp;ROUND(Q218*100,0)&amp;"%"</f>
        <v>- At March 2009, there were 2408 children looked after away from home aged 0-4 (2005:1722).  This represents a movement of 40%</v>
      </c>
      <c r="B225" s="694"/>
      <c r="C225" s="694"/>
      <c r="D225" s="694"/>
      <c r="E225" s="694"/>
      <c r="F225" s="694"/>
      <c r="G225" s="694"/>
      <c r="H225" s="694"/>
    </row>
    <row r="226" spans="1:9" ht="32.25" customHeight="1">
      <c r="A226" s="694" t="str">
        <f>"- At March 2009, there were "&amp;$O$219&amp;" children looked after away from home aged 5-11 (2005:"&amp;K219&amp;").  This represents a movement of "&amp;ROUND(Q219*100,0)&amp;"%"</f>
        <v>- At March 2009, there were 4201 children looked after away from home aged 5-11 (2005:2808).  This represents a movement of 50%</v>
      </c>
      <c r="B226" s="694"/>
      <c r="C226" s="694"/>
      <c r="D226" s="694"/>
      <c r="E226" s="694"/>
      <c r="F226" s="694"/>
      <c r="G226" s="694"/>
      <c r="H226" s="694"/>
    </row>
    <row r="227" spans="1:9" ht="32.25" customHeight="1">
      <c r="A227" s="694" t="str">
        <f>"- At March 2009, there were "&amp;$O$220&amp;" children looked after away from home aged 12-17 (2005:"&amp;K220&amp;").  This represents a movement of "&amp;ROUND(Q220*100,0)&amp;"%"</f>
        <v>- At March 2009, there were 4527 children looked after away from home aged 12-17 (2005:3356).  This represents a movement of 35%</v>
      </c>
      <c r="B227" s="694"/>
      <c r="C227" s="694"/>
      <c r="D227" s="694"/>
      <c r="E227" s="694"/>
      <c r="F227" s="694"/>
      <c r="G227" s="694"/>
      <c r="H227" s="694"/>
    </row>
    <row r="228" spans="1:9">
      <c r="A228" s="150"/>
      <c r="B228" s="150"/>
      <c r="C228" s="150"/>
      <c r="D228" s="150"/>
      <c r="E228" s="150"/>
      <c r="F228" s="150"/>
      <c r="G228" s="150"/>
      <c r="H228" s="150"/>
      <c r="I228" s="159"/>
    </row>
    <row r="230" spans="1:9">
      <c r="A230" s="88" t="str">
        <f>"Figure " &amp; $I$230 &amp; " - Balance of care, children looked after at and away from home across Scotland"</f>
        <v>Figure 11 - Balance of care, children looked after at and away from home across Scotland</v>
      </c>
      <c r="I230" s="156">
        <f>$I$207+1</f>
        <v>11</v>
      </c>
    </row>
    <row r="250" spans="1:9" ht="28.5" customHeight="1">
      <c r="A250" s="694" t="str">
        <f>"- At March 2009, balance of children looked after at and away from home as a rate per 1,000 population aged 0-17 was as follows:"</f>
        <v>- At March 2009, balance of children looked after at and away from home as a rate per 1,000 population aged 0-17 was as follows:</v>
      </c>
      <c r="B250" s="694"/>
      <c r="C250" s="694"/>
      <c r="D250" s="694"/>
      <c r="E250" s="694"/>
      <c r="F250" s="694"/>
      <c r="G250" s="694"/>
      <c r="H250" s="694"/>
    </row>
    <row r="251" spans="1:9" ht="18" customHeight="1">
      <c r="A251" s="694" t="str">
        <f>"      - In Scotland " &amp; TEXT('Statistics - Children'!$L$135,"0%") &amp; " of children were looked after at home."</f>
        <v xml:space="preserve">      - In Scotland 27% of children were looked after at home.</v>
      </c>
      <c r="B251" s="694"/>
      <c r="C251" s="694"/>
      <c r="D251" s="694"/>
      <c r="E251" s="694"/>
      <c r="F251" s="694"/>
      <c r="G251" s="694"/>
      <c r="H251" s="694"/>
    </row>
    <row r="252" spans="1:9" ht="17.25" customHeight="1">
      <c r="A252" s="694" t="str">
        <f>"      - In Scotland " &amp; TEXT('Statistics - Children'!$K$135,"0%") &amp; " of children were looked after away from home."</f>
        <v xml:space="preserve">      - In Scotland 73% of children were looked after away from home.</v>
      </c>
      <c r="B252" s="694"/>
      <c r="C252" s="694"/>
      <c r="D252" s="694"/>
      <c r="E252" s="694"/>
      <c r="F252" s="694"/>
      <c r="G252" s="694"/>
      <c r="H252" s="694"/>
    </row>
    <row r="253" spans="1:9" ht="24" customHeight="1">
      <c r="A253" s="693" t="str">
        <f>"Figure " &amp; $I$253 &amp; " - Rates of children aged 0-17 looked after away from home across Scotland"</f>
        <v>Figure 12 - Rates of children aged 0-17 looked after away from home across Scotland</v>
      </c>
      <c r="B253" s="694"/>
      <c r="C253" s="694"/>
      <c r="D253" s="694"/>
      <c r="E253" s="694"/>
      <c r="F253" s="694"/>
      <c r="G253" s="694"/>
      <c r="H253" s="694"/>
      <c r="I253" s="156">
        <f>$I$230+1</f>
        <v>12</v>
      </c>
    </row>
    <row r="272" spans="1:8" ht="29.25" customHeight="1">
      <c r="A272" s="692" t="str">
        <f>"- The rate, nationally, of children looked after away from home was " &amp; TEXT('Statistics - Children'!$D$170,"0.0") &amp; " per 1,000 population aged 0-17 (represented by the horizontal line)"</f>
        <v>- The rate, nationally, of children looked after away from home was 10.9 per 1,000 population aged 0-17 (represented by the horizontal line)</v>
      </c>
      <c r="B272" s="692"/>
      <c r="C272" s="692"/>
      <c r="D272" s="692"/>
      <c r="E272" s="692"/>
      <c r="F272" s="692"/>
      <c r="G272" s="692"/>
      <c r="H272" s="692"/>
    </row>
    <row r="273" spans="1:9" ht="29.25" customHeight="1">
      <c r="A273" s="692" t="str">
        <f>"- Rates of children looked after away from home in Scotland ranged from " &amp; TEXT(MIN('Statistics - Children'!$B$140:$B$170),"0.0") &amp; " to " &amp; TEXT(MAX('Statistics - Children'!$B$140:$B$170),"0.0") &amp; " per 1,000 population aged 0-17"</f>
        <v>- Rates of children looked after away from home in Scotland ranged from 4.7 to 24.5 per 1,000 population aged 0-17</v>
      </c>
      <c r="B273" s="692"/>
      <c r="C273" s="692"/>
      <c r="D273" s="692"/>
      <c r="E273" s="692"/>
      <c r="F273" s="692"/>
      <c r="G273" s="692"/>
      <c r="H273" s="692"/>
    </row>
    <row r="274" spans="1:9" ht="27.75" customHeight="1">
      <c r="A274" s="693" t="str">
        <f>"Figure " &amp; $I$274 &amp; " - Children aged 0-17 looked after away from home by placement type in 2009"</f>
        <v>Figure 13 - Children aged 0-17 looked after away from home by placement type in 2009</v>
      </c>
      <c r="B274" s="706"/>
      <c r="C274" s="706"/>
      <c r="D274" s="706"/>
      <c r="E274" s="706"/>
      <c r="F274" s="706"/>
      <c r="G274" s="706"/>
      <c r="H274" s="706"/>
      <c r="I274" s="156">
        <f>$I$253+1</f>
        <v>13</v>
      </c>
    </row>
    <row r="303" spans="1:8" ht="28.5" customHeight="1">
      <c r="A303" s="692" t="str">
        <f>"- At March 2009, in " &amp; $C$5 &amp; ", placements for children looked after away from home per 1,000 population aged 0-17 were as follows:"</f>
        <v>- At March 2009, in , placements for children looked after away from home per 1,000 population aged 0-17 were as follows:</v>
      </c>
      <c r="B303" s="692"/>
      <c r="C303" s="692"/>
      <c r="D303" s="692"/>
      <c r="E303" s="692"/>
      <c r="F303" s="692"/>
      <c r="G303" s="692"/>
      <c r="H303" s="692"/>
    </row>
    <row r="304" spans="1:8">
      <c r="A304" s="692" t="str">
        <f>"      -" &amp; TEXT('Statistics - Children'!$H$213,"0.0") &amp; " per 1,000 in residential placements"</f>
        <v xml:space="preserve">      -1.4 per 1,000 in residential placements</v>
      </c>
      <c r="B304" s="692"/>
      <c r="C304" s="692"/>
      <c r="D304" s="692"/>
      <c r="E304" s="692"/>
      <c r="F304" s="692"/>
      <c r="G304" s="692"/>
      <c r="H304" s="692"/>
    </row>
    <row r="305" spans="1:13">
      <c r="A305" s="692" t="str">
        <f>"      -" &amp; TEXT('Statistics - Children'!$I$213,"0.0") &amp; " per 1,000 in directly provided foster care"</f>
        <v xml:space="preserve">      -3.7 per 1,000 in directly provided foster care</v>
      </c>
      <c r="B305" s="692"/>
      <c r="C305" s="692"/>
      <c r="D305" s="692"/>
      <c r="E305" s="692"/>
      <c r="F305" s="692"/>
      <c r="G305" s="692"/>
      <c r="H305" s="692"/>
    </row>
    <row r="306" spans="1:13">
      <c r="A306" s="692" t="str">
        <f>"      -" &amp; TEXT('Statistics - Children'!$J$213,"0.0") &amp; " per 1,000 in directly purchased foster care"</f>
        <v xml:space="preserve">      -1.5 per 1,000 in directly purchased foster care</v>
      </c>
      <c r="B306" s="692"/>
      <c r="C306" s="692"/>
      <c r="D306" s="692"/>
      <c r="E306" s="692"/>
      <c r="F306" s="692"/>
      <c r="G306" s="692"/>
      <c r="H306" s="692"/>
    </row>
    <row r="307" spans="1:13">
      <c r="A307" s="692" t="str">
        <f>"      -" &amp; TEXT('Statistics - Children'!$K$213,"0.0") &amp; " per 1,000 with relatives or friends"</f>
        <v xml:space="preserve">      -4.0 per 1,000 with relatives or friends</v>
      </c>
      <c r="B307" s="692"/>
      <c r="C307" s="692"/>
      <c r="D307" s="692"/>
      <c r="E307" s="692"/>
      <c r="F307" s="692"/>
      <c r="G307" s="692"/>
      <c r="H307" s="692"/>
    </row>
    <row r="308" spans="1:13">
      <c r="A308" s="692" t="str">
        <f>"      -" &amp; TEXT('Statistics - Children'!$L$213,"0.0") &amp; " per 1,000 population in an other placement"</f>
        <v xml:space="preserve">      -0.3 per 1,000 population in an other placement</v>
      </c>
      <c r="B308" s="692"/>
      <c r="C308" s="692"/>
      <c r="D308" s="692"/>
      <c r="E308" s="692"/>
      <c r="F308" s="692"/>
      <c r="G308" s="692"/>
      <c r="H308" s="692"/>
    </row>
    <row r="309" spans="1:13" ht="46.5" customHeight="1">
      <c r="A309" s="724" t="s">
        <v>134</v>
      </c>
      <c r="B309" s="724"/>
      <c r="C309" s="724"/>
      <c r="D309" s="724"/>
      <c r="E309" s="724"/>
      <c r="F309" s="724"/>
      <c r="G309" s="724"/>
      <c r="H309" s="724"/>
    </row>
    <row r="310" spans="1:13" ht="27" customHeight="1">
      <c r="A310" s="693" t="str">
        <f>"Figure "&amp;$I$310&amp;" - Breakdown of children looked after in residential placements across Scotland"</f>
        <v>Figure 14 - Breakdown of children looked after in residential placements across Scotland</v>
      </c>
      <c r="B310" s="706"/>
      <c r="C310" s="706"/>
      <c r="D310" s="706"/>
      <c r="E310" s="706"/>
      <c r="F310" s="706"/>
      <c r="G310" s="706"/>
      <c r="H310" s="706"/>
      <c r="I310" s="156">
        <f>$I$274+1</f>
        <v>14</v>
      </c>
    </row>
    <row r="311" spans="1:13" ht="13.5" customHeight="1">
      <c r="A311" s="172"/>
      <c r="B311" s="172"/>
      <c r="C311" s="172"/>
      <c r="D311" s="172"/>
      <c r="E311" s="172"/>
      <c r="F311" s="172"/>
      <c r="G311" s="172"/>
      <c r="H311" s="172"/>
      <c r="J311" s="13"/>
    </row>
    <row r="312" spans="1:13" ht="13.5" customHeight="1">
      <c r="A312" s="172"/>
      <c r="B312" s="172"/>
      <c r="C312" s="172"/>
      <c r="D312" s="172"/>
      <c r="E312" s="172"/>
      <c r="F312" s="172"/>
      <c r="G312" s="172"/>
      <c r="H312" s="172"/>
      <c r="J312" s="13"/>
    </row>
    <row r="313" spans="1:13" ht="13.5" customHeight="1">
      <c r="A313" s="172"/>
      <c r="B313" s="172"/>
      <c r="C313" s="172"/>
      <c r="D313" s="172"/>
      <c r="E313" s="172"/>
      <c r="F313" s="172"/>
      <c r="G313" s="172"/>
      <c r="H313" s="172"/>
      <c r="J313" s="13"/>
    </row>
    <row r="314" spans="1:13" ht="13.5" customHeight="1">
      <c r="A314" s="172"/>
      <c r="B314" s="172"/>
      <c r="C314" s="172"/>
      <c r="D314" s="172"/>
      <c r="E314" s="172"/>
      <c r="F314" s="172"/>
      <c r="G314" s="172"/>
      <c r="H314" s="172"/>
      <c r="J314" s="13"/>
    </row>
    <row r="315" spans="1:13" ht="13.5" customHeight="1">
      <c r="A315" s="172"/>
      <c r="B315" s="172"/>
      <c r="C315" s="172"/>
      <c r="D315" s="172"/>
      <c r="E315" s="172"/>
      <c r="F315" s="172"/>
      <c r="G315" s="172"/>
      <c r="H315" s="172"/>
      <c r="J315" s="13"/>
    </row>
    <row r="316" spans="1:13" ht="13.5" customHeight="1">
      <c r="A316" s="172"/>
      <c r="B316" s="172"/>
      <c r="C316" s="172"/>
      <c r="D316" s="172"/>
      <c r="E316" s="172"/>
      <c r="F316" s="172"/>
      <c r="G316" s="172"/>
      <c r="H316" s="172"/>
      <c r="J316" s="13"/>
    </row>
    <row r="317" spans="1:13" ht="13.5" customHeight="1">
      <c r="A317" s="172"/>
      <c r="B317" s="172"/>
      <c r="C317" s="172"/>
      <c r="D317" s="172"/>
      <c r="E317" s="172"/>
      <c r="F317" s="172"/>
      <c r="G317" s="172"/>
      <c r="H317" s="172"/>
      <c r="J317" s="13"/>
    </row>
    <row r="318" spans="1:13" ht="13.5" customHeight="1">
      <c r="A318" s="172"/>
      <c r="B318" s="172"/>
      <c r="C318" s="172"/>
      <c r="D318" s="172"/>
      <c r="E318" s="172"/>
      <c r="F318" s="172"/>
      <c r="G318" s="172"/>
      <c r="H318" s="172"/>
      <c r="J318" s="13"/>
      <c r="K318" s="13"/>
      <c r="L318" s="13"/>
      <c r="M318" s="13"/>
    </row>
    <row r="319" spans="1:13" ht="13.5" customHeight="1">
      <c r="A319" s="172"/>
      <c r="B319" s="172"/>
      <c r="C319" s="172"/>
      <c r="D319" s="172"/>
      <c r="E319" s="172"/>
      <c r="F319" s="172"/>
      <c r="G319" s="172"/>
      <c r="H319" s="172"/>
      <c r="J319" s="13"/>
      <c r="K319" s="13"/>
      <c r="L319" s="13"/>
      <c r="M319" s="13"/>
    </row>
    <row r="320" spans="1:13" ht="13.5" customHeight="1">
      <c r="A320" s="172"/>
      <c r="B320" s="172"/>
      <c r="C320" s="172"/>
      <c r="D320" s="172"/>
      <c r="E320" s="172"/>
      <c r="F320" s="172"/>
      <c r="G320" s="172"/>
      <c r="H320" s="172"/>
      <c r="J320" s="13"/>
      <c r="K320" s="13"/>
      <c r="L320" s="13"/>
      <c r="M320" s="13"/>
    </row>
    <row r="321" spans="1:13" ht="13.5" customHeight="1">
      <c r="A321" s="172"/>
      <c r="B321" s="172"/>
      <c r="C321" s="172"/>
      <c r="D321" s="172"/>
      <c r="E321" s="172"/>
      <c r="F321" s="172"/>
      <c r="G321" s="172"/>
      <c r="H321" s="172"/>
      <c r="J321" s="13"/>
      <c r="K321" s="13"/>
      <c r="L321" s="13"/>
      <c r="M321" s="13"/>
    </row>
    <row r="322" spans="1:13" ht="13.5" customHeight="1">
      <c r="A322" s="172"/>
      <c r="B322" s="172"/>
      <c r="C322" s="172"/>
      <c r="D322" s="172"/>
      <c r="E322" s="172"/>
      <c r="F322" s="172"/>
      <c r="G322" s="172"/>
      <c r="H322" s="172"/>
      <c r="J322" s="13"/>
      <c r="K322" s="13"/>
      <c r="L322" s="13"/>
      <c r="M322" s="13"/>
    </row>
    <row r="323" spans="1:13" ht="13.5" customHeight="1">
      <c r="A323" s="172"/>
      <c r="B323" s="172"/>
      <c r="C323" s="172"/>
      <c r="D323" s="172"/>
      <c r="E323" s="172"/>
      <c r="F323" s="172"/>
      <c r="G323" s="172"/>
      <c r="H323" s="172"/>
      <c r="J323" s="13"/>
      <c r="K323" s="13"/>
      <c r="L323" s="13"/>
      <c r="M323" s="13"/>
    </row>
    <row r="324" spans="1:13" ht="13.5" customHeight="1">
      <c r="A324" s="172"/>
      <c r="B324" s="172"/>
      <c r="C324" s="172"/>
      <c r="D324" s="172"/>
      <c r="E324" s="172"/>
      <c r="F324" s="172"/>
      <c r="G324" s="172"/>
      <c r="H324" s="172"/>
      <c r="J324" s="13"/>
      <c r="K324" s="13"/>
      <c r="L324" s="13"/>
      <c r="M324" s="13"/>
    </row>
    <row r="325" spans="1:13" ht="13.5" customHeight="1">
      <c r="A325" s="172"/>
      <c r="B325" s="172"/>
      <c r="C325" s="172"/>
      <c r="D325" s="172"/>
      <c r="E325" s="172"/>
      <c r="F325" s="172"/>
      <c r="G325" s="172"/>
      <c r="H325" s="172"/>
      <c r="J325" s="13"/>
      <c r="K325" s="13"/>
      <c r="L325" s="13"/>
      <c r="M325" s="13"/>
    </row>
    <row r="326" spans="1:13" ht="13.5" customHeight="1">
      <c r="A326" s="172"/>
      <c r="B326" s="172"/>
      <c r="C326" s="172"/>
      <c r="D326" s="172"/>
      <c r="E326" s="172"/>
      <c r="F326" s="172"/>
      <c r="G326" s="172"/>
      <c r="H326" s="172"/>
      <c r="J326" s="13"/>
      <c r="K326" s="13"/>
      <c r="L326" s="13"/>
      <c r="M326" s="13"/>
    </row>
    <row r="327" spans="1:13" ht="13.5" customHeight="1">
      <c r="A327" s="172"/>
      <c r="B327" s="172"/>
      <c r="C327" s="172"/>
      <c r="D327" s="172"/>
      <c r="E327" s="172"/>
      <c r="F327" s="172"/>
      <c r="G327" s="172"/>
      <c r="H327" s="172"/>
      <c r="J327" s="13"/>
      <c r="K327" s="13"/>
      <c r="L327" s="13"/>
      <c r="M327" s="13"/>
    </row>
    <row r="328" spans="1:13" ht="13.5" customHeight="1">
      <c r="A328" s="172"/>
      <c r="B328" s="172"/>
      <c r="C328" s="172"/>
      <c r="D328" s="172"/>
      <c r="E328" s="172"/>
      <c r="F328" s="172"/>
      <c r="G328" s="172"/>
      <c r="H328" s="172"/>
    </row>
    <row r="329" spans="1:13" ht="13.5" customHeight="1">
      <c r="A329" s="172"/>
      <c r="B329" s="172"/>
      <c r="C329" s="172"/>
      <c r="D329" s="172"/>
      <c r="E329" s="172"/>
      <c r="F329" s="172"/>
      <c r="G329" s="172"/>
      <c r="H329" s="172"/>
    </row>
    <row r="330" spans="1:13" ht="13.5" customHeight="1">
      <c r="A330" s="172"/>
      <c r="B330" s="172"/>
      <c r="C330" s="172"/>
      <c r="D330" s="172"/>
      <c r="E330" s="172"/>
      <c r="F330" s="172"/>
      <c r="G330" s="172"/>
      <c r="H330" s="172"/>
    </row>
    <row r="331" spans="1:13" ht="13.5" customHeight="1">
      <c r="A331" s="172"/>
      <c r="B331" s="172"/>
      <c r="C331" s="172"/>
      <c r="D331" s="172"/>
      <c r="E331" s="172"/>
      <c r="F331" s="172"/>
      <c r="G331" s="172"/>
      <c r="H331" s="172"/>
    </row>
    <row r="332" spans="1:13" ht="13.5" customHeight="1">
      <c r="A332" s="172"/>
      <c r="B332" s="172"/>
      <c r="C332" s="172"/>
      <c r="D332" s="172"/>
      <c r="E332" s="172"/>
      <c r="F332" s="172"/>
      <c r="G332" s="172"/>
      <c r="H332" s="172"/>
    </row>
    <row r="333" spans="1:13" ht="13.5" customHeight="1">
      <c r="A333" s="172"/>
      <c r="B333" s="172"/>
      <c r="C333" s="172"/>
      <c r="D333" s="172"/>
      <c r="E333" s="172"/>
      <c r="F333" s="172"/>
      <c r="G333" s="172"/>
      <c r="H333" s="172"/>
    </row>
    <row r="334" spans="1:13" ht="13.5" customHeight="1">
      <c r="A334" s="172"/>
      <c r="B334" s="172"/>
      <c r="C334" s="172"/>
      <c r="D334" s="172"/>
      <c r="E334" s="172"/>
      <c r="F334" s="172"/>
      <c r="G334" s="172"/>
      <c r="H334" s="172"/>
    </row>
    <row r="335" spans="1:13" ht="13.5" customHeight="1">
      <c r="A335" s="172"/>
      <c r="B335" s="172"/>
      <c r="C335" s="172"/>
      <c r="D335" s="172"/>
      <c r="E335" s="172"/>
      <c r="F335" s="172"/>
      <c r="G335" s="172"/>
      <c r="H335" s="172"/>
    </row>
    <row r="336" spans="1:13" ht="30.75" customHeight="1">
      <c r="A336" s="692" t="str">
        <f>"- At March 2009, the rates of children looked after aged 0-17 in residential placements per 1,000 population were as follows:"</f>
        <v>- At March 2009, the rates of children looked after aged 0-17 in residential placements per 1,000 population were as follows:</v>
      </c>
      <c r="B336" s="692"/>
      <c r="C336" s="692"/>
      <c r="D336" s="692"/>
      <c r="E336" s="692"/>
      <c r="F336" s="692"/>
      <c r="G336" s="692"/>
      <c r="H336" s="692"/>
    </row>
    <row r="337" spans="1:9" ht="13.5" customHeight="1">
      <c r="A337" s="723" t="str">
        <f>"      -" &amp; TEXT('Statistics - Children'!$S$267,"0.00") &amp; " per 1,000 in residential schools"</f>
        <v xml:space="preserve">      -0.12 per 1,000 in residential schools</v>
      </c>
      <c r="B337" s="723"/>
      <c r="C337" s="723"/>
      <c r="D337" s="723"/>
      <c r="E337" s="723"/>
      <c r="F337" s="723"/>
      <c r="G337" s="723"/>
      <c r="H337" s="723"/>
    </row>
    <row r="338" spans="1:9" ht="13.5" customHeight="1">
      <c r="A338" s="723" t="str">
        <f>"      -" &amp; TEXT('Statistics - Children'!$T$267,"0.00") &amp; " per 1,000 in secure accommodation"</f>
        <v xml:space="preserve">      -0.08 per 1,000 in secure accommodation</v>
      </c>
      <c r="B338" s="723"/>
      <c r="C338" s="723"/>
      <c r="D338" s="723"/>
      <c r="E338" s="723"/>
      <c r="F338" s="723"/>
      <c r="G338" s="723"/>
      <c r="H338" s="723"/>
    </row>
    <row r="339" spans="1:9" ht="13.5" customHeight="1">
      <c r="A339" s="723" t="str">
        <f>"      -" &amp; TEXT('Statistics - Children'!$U$267,"0.00") &amp; " per 1,000 in local authority homes"</f>
        <v xml:space="preserve">      -0.52 per 1,000 in local authority homes</v>
      </c>
      <c r="B339" s="723"/>
      <c r="C339" s="723"/>
      <c r="D339" s="723"/>
      <c r="E339" s="723"/>
      <c r="F339" s="723"/>
      <c r="G339" s="723"/>
      <c r="H339" s="723"/>
    </row>
    <row r="340" spans="1:9" ht="13.5" customHeight="1">
      <c r="A340" s="723" t="str">
        <f>"      -" &amp; TEXT('Statistics - Children'!$V$267,"0.00") &amp; " per 1,000 in voluntary homes"</f>
        <v xml:space="preserve">      -0.38 per 1,000 in voluntary homes</v>
      </c>
      <c r="B340" s="723"/>
      <c r="C340" s="723"/>
      <c r="D340" s="723"/>
      <c r="E340" s="723"/>
      <c r="F340" s="723"/>
      <c r="G340" s="723"/>
      <c r="H340" s="723"/>
    </row>
    <row r="341" spans="1:9" ht="13.5" customHeight="1">
      <c r="A341" s="723" t="str">
        <f>"      -" &amp; TEXT('Statistics - Children'!$W$267,"0.00") &amp; " per 1,000 in crisis care"</f>
        <v xml:space="preserve">      -0.02 per 1,000 in crisis care</v>
      </c>
      <c r="B341" s="723"/>
      <c r="C341" s="723"/>
      <c r="D341" s="723"/>
      <c r="E341" s="723"/>
      <c r="F341" s="723"/>
      <c r="G341" s="723"/>
      <c r="H341" s="723"/>
    </row>
    <row r="342" spans="1:9" ht="13.5" customHeight="1">
      <c r="A342" s="723" t="str">
        <f>"      -" &amp; TEXT('Statistics - Children'!$X$267,"0.00") &amp; " in another residential placement"</f>
        <v xml:space="preserve">      -0.29 in another residential placement</v>
      </c>
      <c r="B342" s="723"/>
      <c r="C342" s="723"/>
      <c r="D342" s="723"/>
      <c r="E342" s="723"/>
      <c r="F342" s="723"/>
      <c r="G342" s="723"/>
      <c r="H342" s="723"/>
    </row>
    <row r="343" spans="1:9" ht="42.75" customHeight="1">
      <c r="A343" s="724" t="s">
        <v>218</v>
      </c>
      <c r="B343" s="724"/>
      <c r="C343" s="724"/>
      <c r="D343" s="724"/>
      <c r="E343" s="724"/>
      <c r="F343" s="724"/>
      <c r="G343" s="724"/>
      <c r="H343" s="724"/>
    </row>
    <row r="344" spans="1:9" ht="18">
      <c r="A344" s="701" t="s">
        <v>85</v>
      </c>
      <c r="B344" s="701"/>
      <c r="C344" s="701"/>
      <c r="D344" s="701"/>
      <c r="E344" s="701"/>
      <c r="F344" s="701"/>
      <c r="G344" s="701"/>
      <c r="H344" s="701"/>
    </row>
    <row r="345" spans="1:9" ht="18">
      <c r="A345" s="127"/>
      <c r="B345" s="127"/>
      <c r="C345" s="127"/>
      <c r="D345" s="127"/>
      <c r="E345" s="127"/>
      <c r="F345" s="127"/>
      <c r="G345" s="127"/>
      <c r="H345" s="127"/>
    </row>
    <row r="346" spans="1:9" ht="16.5" customHeight="1">
      <c r="A346" s="693" t="str">
        <f>"Figure " &amp; $I$346 &amp; " - Older people population data - % change 2005-2008 &amp; Projections 2008-2018"</f>
        <v>Figure 15 - Older people population data - % change 2005-2008 &amp; Projections 2008-2018</v>
      </c>
      <c r="B346" s="706"/>
      <c r="C346" s="706"/>
      <c r="D346" s="706"/>
      <c r="E346" s="706"/>
      <c r="F346" s="706"/>
      <c r="G346" s="706"/>
      <c r="H346" s="706"/>
      <c r="I346" s="195">
        <f>$I$310+1</f>
        <v>15</v>
      </c>
    </row>
    <row r="347" spans="1:9" ht="16.5" customHeight="1" thickBot="1">
      <c r="A347" s="193"/>
      <c r="B347" s="194"/>
      <c r="C347" s="194"/>
      <c r="D347" s="194"/>
      <c r="E347" s="194"/>
      <c r="F347" s="194"/>
      <c r="G347" s="194"/>
      <c r="H347" s="194"/>
    </row>
    <row r="348" spans="1:9" ht="39" thickBot="1">
      <c r="A348" s="729" t="s">
        <v>209</v>
      </c>
      <c r="B348" s="730"/>
      <c r="C348" s="204" t="s">
        <v>217</v>
      </c>
      <c r="D348" s="205" t="s">
        <v>216</v>
      </c>
      <c r="E348" s="206" t="s">
        <v>205</v>
      </c>
      <c r="F348" s="207" t="s">
        <v>206</v>
      </c>
      <c r="G348" s="205" t="s">
        <v>207</v>
      </c>
      <c r="H348" s="208" t="s">
        <v>208</v>
      </c>
    </row>
    <row r="349" spans="1:9" ht="15" customHeight="1">
      <c r="A349" s="689" t="s">
        <v>31</v>
      </c>
      <c r="B349" s="690"/>
      <c r="C349" s="209">
        <v>-3.9150861318949015E-2</v>
      </c>
      <c r="D349" s="210">
        <v>1.3762659049597507E-2</v>
      </c>
      <c r="E349" s="211">
        <v>8.6799924985422008E-2</v>
      </c>
      <c r="F349" s="212">
        <v>0.21833876614753109</v>
      </c>
      <c r="G349" s="210">
        <v>3.8934426229508198E-2</v>
      </c>
      <c r="H349" s="213">
        <v>0.38263761890420928</v>
      </c>
    </row>
    <row r="350" spans="1:9" ht="15" customHeight="1">
      <c r="A350" s="689" t="s">
        <v>32</v>
      </c>
      <c r="B350" s="690"/>
      <c r="C350" s="209">
        <v>6.8453587353060397E-2</v>
      </c>
      <c r="D350" s="210">
        <v>5.663376275723607E-2</v>
      </c>
      <c r="E350" s="211">
        <v>0.1063139608746031</v>
      </c>
      <c r="F350" s="212">
        <v>0.43334756010812348</v>
      </c>
      <c r="G350" s="210">
        <v>0.33797799065790518</v>
      </c>
      <c r="H350" s="213">
        <v>0.51619589231795981</v>
      </c>
    </row>
    <row r="351" spans="1:9" ht="15" customHeight="1">
      <c r="A351" s="689" t="s">
        <v>33</v>
      </c>
      <c r="B351" s="690"/>
      <c r="C351" s="209">
        <v>3.8277942898315771E-2</v>
      </c>
      <c r="D351" s="210">
        <v>5.2691218130311614E-2</v>
      </c>
      <c r="E351" s="211">
        <v>9.5421089879688614E-2</v>
      </c>
      <c r="F351" s="212">
        <v>0.27576335877862596</v>
      </c>
      <c r="G351" s="210">
        <v>0.2322389666307858</v>
      </c>
      <c r="H351" s="213">
        <v>0.46428763410116597</v>
      </c>
    </row>
    <row r="352" spans="1:9" ht="15" customHeight="1">
      <c r="A352" s="689" t="s">
        <v>34</v>
      </c>
      <c r="B352" s="690"/>
      <c r="C352" s="209">
        <v>3.8039649793700309E-2</v>
      </c>
      <c r="D352" s="210">
        <v>4.4921220248072408E-2</v>
      </c>
      <c r="E352" s="211">
        <v>7.8540292360222086E-2</v>
      </c>
      <c r="F352" s="212">
        <v>0.17091614154144449</v>
      </c>
      <c r="G352" s="210">
        <v>0.26307346807828041</v>
      </c>
      <c r="H352" s="213">
        <v>0.395787089278477</v>
      </c>
    </row>
    <row r="353" spans="1:8" ht="15" customHeight="1">
      <c r="A353" s="689" t="s">
        <v>35</v>
      </c>
      <c r="B353" s="690"/>
      <c r="C353" s="209">
        <v>5.7101727447216893E-2</v>
      </c>
      <c r="D353" s="210">
        <v>2.3932987634623054E-3</v>
      </c>
      <c r="E353" s="211">
        <v>0.13552733008428131</v>
      </c>
      <c r="F353" s="212">
        <v>0.31547889241942806</v>
      </c>
      <c r="G353" s="210">
        <v>0.29606048547552727</v>
      </c>
      <c r="H353" s="213">
        <v>0.39749157846899158</v>
      </c>
    </row>
    <row r="354" spans="1:8" ht="15" customHeight="1">
      <c r="A354" s="689" t="s">
        <v>36</v>
      </c>
      <c r="B354" s="690"/>
      <c r="C354" s="209">
        <v>4.6882522869523352E-2</v>
      </c>
      <c r="D354" s="210">
        <v>3.1915910176779742E-2</v>
      </c>
      <c r="E354" s="211">
        <v>0.10941036433514441</v>
      </c>
      <c r="F354" s="212">
        <v>0.19718309859154928</v>
      </c>
      <c r="G354" s="210">
        <v>0.24455968145198628</v>
      </c>
      <c r="H354" s="213">
        <v>0.48553361841587012</v>
      </c>
    </row>
    <row r="355" spans="1:8" ht="15" customHeight="1">
      <c r="A355" s="689" t="s">
        <v>37</v>
      </c>
      <c r="B355" s="690"/>
      <c r="C355" s="209">
        <v>-4.117257126021949E-2</v>
      </c>
      <c r="D355" s="210">
        <v>3.1300593631948194E-3</v>
      </c>
      <c r="E355" s="211">
        <v>0.18556002799496041</v>
      </c>
      <c r="F355" s="212">
        <v>6.1914272545705945E-2</v>
      </c>
      <c r="G355" s="210">
        <v>1.4310307725414246E-2</v>
      </c>
      <c r="H355" s="213">
        <v>0.4240901540584005</v>
      </c>
    </row>
    <row r="356" spans="1:8" ht="15" customHeight="1">
      <c r="A356" s="689" t="s">
        <v>38</v>
      </c>
      <c r="B356" s="690"/>
      <c r="C356" s="209">
        <v>1.4701975024355681E-2</v>
      </c>
      <c r="D356" s="210">
        <v>3.32312404287902E-2</v>
      </c>
      <c r="E356" s="211">
        <v>0.11909816134065157</v>
      </c>
      <c r="F356" s="212">
        <v>0.21558872305140961</v>
      </c>
      <c r="G356" s="210">
        <v>0.23180672891655552</v>
      </c>
      <c r="H356" s="213">
        <v>0.32487195534199409</v>
      </c>
    </row>
    <row r="357" spans="1:8" ht="15" customHeight="1">
      <c r="A357" s="689" t="s">
        <v>39</v>
      </c>
      <c r="B357" s="690"/>
      <c r="C357" s="209">
        <v>1.0475266731328807E-2</v>
      </c>
      <c r="D357" s="210">
        <v>4.5082624739290873E-2</v>
      </c>
      <c r="E357" s="211">
        <v>0.18577953527285823</v>
      </c>
      <c r="F357" s="212">
        <v>0.14599731234401997</v>
      </c>
      <c r="G357" s="210">
        <v>0.2120049124961621</v>
      </c>
      <c r="H357" s="213">
        <v>0.55794010318073617</v>
      </c>
    </row>
    <row r="358" spans="1:8" ht="15" customHeight="1">
      <c r="A358" s="689" t="s">
        <v>40</v>
      </c>
      <c r="B358" s="690"/>
      <c r="C358" s="209">
        <v>4.9081181670155849E-2</v>
      </c>
      <c r="D358" s="210">
        <v>1.3041210224308816E-2</v>
      </c>
      <c r="E358" s="211">
        <v>0.10631303782523954</v>
      </c>
      <c r="F358" s="212">
        <v>0.25166297117516628</v>
      </c>
      <c r="G358" s="210">
        <v>0.2284586337109509</v>
      </c>
      <c r="H358" s="213">
        <v>0.36722681284467096</v>
      </c>
    </row>
    <row r="359" spans="1:8" ht="15" customHeight="1">
      <c r="A359" s="689" t="s">
        <v>41</v>
      </c>
      <c r="B359" s="690"/>
      <c r="C359" s="209">
        <v>6.7642356413725249E-3</v>
      </c>
      <c r="D359" s="210">
        <v>6.338839800230503E-2</v>
      </c>
      <c r="E359" s="211">
        <v>0.12639650926484577</v>
      </c>
      <c r="F359" s="212">
        <v>0.16332763254336671</v>
      </c>
      <c r="G359" s="210">
        <v>0.13728323699421965</v>
      </c>
      <c r="H359" s="213">
        <v>0.48887797050145548</v>
      </c>
    </row>
    <row r="360" spans="1:8" ht="15" customHeight="1">
      <c r="A360" s="689" t="s">
        <v>140</v>
      </c>
      <c r="B360" s="690"/>
      <c r="C360" s="209">
        <v>-3.1484343694544621E-2</v>
      </c>
      <c r="D360" s="210">
        <v>-6.1151079136690647E-3</v>
      </c>
      <c r="E360" s="211">
        <v>0.13992739170724311</v>
      </c>
      <c r="F360" s="212">
        <v>0.23237188959158342</v>
      </c>
      <c r="G360" s="210">
        <v>2.4490288333936544E-2</v>
      </c>
      <c r="H360" s="213">
        <v>0.328396788073405</v>
      </c>
    </row>
    <row r="361" spans="1:8" ht="15" customHeight="1">
      <c r="A361" s="689" t="s">
        <v>42</v>
      </c>
      <c r="B361" s="690"/>
      <c r="C361" s="209">
        <v>4.5470692717584367E-2</v>
      </c>
      <c r="D361" s="210">
        <v>-5.3163211057947902E-3</v>
      </c>
      <c r="E361" s="211">
        <v>9.7555562189186706E-2</v>
      </c>
      <c r="F361" s="212">
        <v>0.19130139313625552</v>
      </c>
      <c r="G361" s="210">
        <v>0.18920363442009622</v>
      </c>
      <c r="H361" s="213">
        <v>0.2532601740119374</v>
      </c>
    </row>
    <row r="362" spans="1:8" ht="15" customHeight="1">
      <c r="A362" s="689" t="s">
        <v>43</v>
      </c>
      <c r="B362" s="690"/>
      <c r="C362" s="209">
        <v>3.9607723886270339E-2</v>
      </c>
      <c r="D362" s="210">
        <v>1.5446948594580907E-2</v>
      </c>
      <c r="E362" s="211">
        <v>9.5965946332665919E-2</v>
      </c>
      <c r="F362" s="212">
        <v>0.21513711151736745</v>
      </c>
      <c r="G362" s="210">
        <v>0.26783042394014961</v>
      </c>
      <c r="H362" s="213">
        <v>0.35870691174722885</v>
      </c>
    </row>
    <row r="363" spans="1:8" ht="15" customHeight="1">
      <c r="A363" s="689" t="s">
        <v>44</v>
      </c>
      <c r="B363" s="690"/>
      <c r="C363" s="209">
        <v>4.7413253162971312E-2</v>
      </c>
      <c r="D363" s="210">
        <v>8.6169125164305537E-3</v>
      </c>
      <c r="E363" s="211">
        <v>0.12342307861637795</v>
      </c>
      <c r="F363" s="212">
        <v>0.28275429049811635</v>
      </c>
      <c r="G363" s="210">
        <v>0.23525436818225698</v>
      </c>
      <c r="H363" s="213">
        <v>0.3664253319229846</v>
      </c>
    </row>
    <row r="364" spans="1:8" ht="15" customHeight="1">
      <c r="A364" s="689" t="s">
        <v>45</v>
      </c>
      <c r="B364" s="690"/>
      <c r="C364" s="209">
        <v>-7.1541135073289727E-2</v>
      </c>
      <c r="D364" s="210">
        <v>-1.5998129654988143E-2</v>
      </c>
      <c r="E364" s="211">
        <v>5.0078488993209561E-2</v>
      </c>
      <c r="F364" s="212">
        <v>2.0972354623450904E-2</v>
      </c>
      <c r="G364" s="210">
        <v>-7.2160749439956554E-2</v>
      </c>
      <c r="H364" s="213">
        <v>0.1686515455680675</v>
      </c>
    </row>
    <row r="365" spans="1:8" ht="15" customHeight="1">
      <c r="A365" s="689" t="s">
        <v>46</v>
      </c>
      <c r="B365" s="690"/>
      <c r="C365" s="209">
        <v>5.8519127533007691E-2</v>
      </c>
      <c r="D365" s="210">
        <v>4.9531249999999999E-2</v>
      </c>
      <c r="E365" s="211">
        <v>0.13456262568144248</v>
      </c>
      <c r="F365" s="212">
        <v>0.33645543016402429</v>
      </c>
      <c r="G365" s="210">
        <v>0.2842042578532083</v>
      </c>
      <c r="H365" s="213">
        <v>0.5730594129013783</v>
      </c>
    </row>
    <row r="366" spans="1:8" ht="15" customHeight="1">
      <c r="A366" s="689" t="s">
        <v>47</v>
      </c>
      <c r="B366" s="690"/>
      <c r="C366" s="209">
        <v>-1.334888543286677E-2</v>
      </c>
      <c r="D366" s="210">
        <v>2.8745279060008393E-2</v>
      </c>
      <c r="E366" s="211">
        <v>0.10672645310183942</v>
      </c>
      <c r="F366" s="212">
        <v>0.14383291737816892</v>
      </c>
      <c r="G366" s="210">
        <v>9.2800326330817862E-2</v>
      </c>
      <c r="H366" s="213">
        <v>0.3161724805592066</v>
      </c>
    </row>
    <row r="367" spans="1:8" ht="15" customHeight="1">
      <c r="A367" s="689" t="s">
        <v>48</v>
      </c>
      <c r="B367" s="690"/>
      <c r="C367" s="209">
        <v>2.2528865108420164E-2</v>
      </c>
      <c r="D367" s="210">
        <v>3.1407336370175017E-2</v>
      </c>
      <c r="E367" s="211">
        <v>0.10913590177389215</v>
      </c>
      <c r="F367" s="212">
        <v>0.27595703662902782</v>
      </c>
      <c r="G367" s="210">
        <v>0.24755927475592748</v>
      </c>
      <c r="H367" s="213">
        <v>0.47579460458402584</v>
      </c>
    </row>
    <row r="368" spans="1:8" ht="15" customHeight="1">
      <c r="A368" s="689" t="s">
        <v>49</v>
      </c>
      <c r="B368" s="690"/>
      <c r="C368" s="209">
        <v>4.5933467503255596E-2</v>
      </c>
      <c r="D368" s="210">
        <v>4.3241137514608494E-2</v>
      </c>
      <c r="E368" s="211">
        <v>0.11306830122690405</v>
      </c>
      <c r="F368" s="212">
        <v>0.22275042444821733</v>
      </c>
      <c r="G368" s="210">
        <v>0.28622106049290513</v>
      </c>
      <c r="H368" s="213">
        <v>0.49876663194130133</v>
      </c>
    </row>
    <row r="369" spans="1:8" ht="15" customHeight="1">
      <c r="A369" s="689" t="s">
        <v>50</v>
      </c>
      <c r="B369" s="690"/>
      <c r="C369" s="209">
        <v>3.5881200060304541E-2</v>
      </c>
      <c r="D369" s="210">
        <v>3.6147722823959283E-2</v>
      </c>
      <c r="E369" s="211">
        <v>9.5695052263459715E-2</v>
      </c>
      <c r="F369" s="212">
        <v>0.21889099112210741</v>
      </c>
      <c r="G369" s="210">
        <v>0.28123425692695214</v>
      </c>
      <c r="H369" s="213">
        <v>0.32011984456798387</v>
      </c>
    </row>
    <row r="370" spans="1:8" ht="15" customHeight="1">
      <c r="A370" s="689" t="s">
        <v>51</v>
      </c>
      <c r="B370" s="690"/>
      <c r="C370" s="209">
        <v>1.6200402267324922E-2</v>
      </c>
      <c r="D370" s="210">
        <v>3.4310831201207113E-2</v>
      </c>
      <c r="E370" s="211">
        <v>0.10504983555762448</v>
      </c>
      <c r="F370" s="212">
        <v>0.15808982294515619</v>
      </c>
      <c r="G370" s="210">
        <v>0.22897374096156287</v>
      </c>
      <c r="H370" s="213">
        <v>0.46577853420937376</v>
      </c>
    </row>
    <row r="371" spans="1:8" ht="15" customHeight="1">
      <c r="A371" s="689" t="s">
        <v>52</v>
      </c>
      <c r="B371" s="690"/>
      <c r="C371" s="209">
        <v>0.11344969199178645</v>
      </c>
      <c r="D371" s="210">
        <v>6.8201193520886615E-3</v>
      </c>
      <c r="E371" s="211">
        <v>4.7282625259051622E-2</v>
      </c>
      <c r="F371" s="212">
        <v>0.26094974642692487</v>
      </c>
      <c r="G371" s="210">
        <v>0.4174428450465707</v>
      </c>
      <c r="H371" s="213">
        <v>0.43986371173334049</v>
      </c>
    </row>
    <row r="372" spans="1:8" ht="15" customHeight="1">
      <c r="A372" s="689" t="s">
        <v>53</v>
      </c>
      <c r="B372" s="690"/>
      <c r="C372" s="209">
        <v>4.5861849996472165E-2</v>
      </c>
      <c r="D372" s="210">
        <v>2.1974522292993629E-2</v>
      </c>
      <c r="E372" s="211">
        <v>0.11904083881205758</v>
      </c>
      <c r="F372" s="212">
        <v>0.28449031909869799</v>
      </c>
      <c r="G372" s="210">
        <v>0.23028980990962916</v>
      </c>
      <c r="H372" s="213">
        <v>0.4229303169071052</v>
      </c>
    </row>
    <row r="373" spans="1:8" ht="15" customHeight="1">
      <c r="A373" s="689" t="s">
        <v>54</v>
      </c>
      <c r="B373" s="690"/>
      <c r="C373" s="209">
        <v>0</v>
      </c>
      <c r="D373" s="210">
        <v>4.3183082915971061E-2</v>
      </c>
      <c r="E373" s="211">
        <v>9.7453111287449157E-2</v>
      </c>
      <c r="F373" s="212">
        <v>0.1307871871352613</v>
      </c>
      <c r="G373" s="210">
        <v>0.15736690493972047</v>
      </c>
      <c r="H373" s="213">
        <v>0.44187920441668305</v>
      </c>
    </row>
    <row r="374" spans="1:8" ht="15" customHeight="1">
      <c r="A374" s="689" t="s">
        <v>55</v>
      </c>
      <c r="B374" s="690"/>
      <c r="C374" s="209">
        <v>4.8627450980392159E-2</v>
      </c>
      <c r="D374" s="210">
        <v>1.3760217983651226E-2</v>
      </c>
      <c r="E374" s="211">
        <v>6.7982112554108645E-2</v>
      </c>
      <c r="F374" s="212">
        <v>0.29402476522895371</v>
      </c>
      <c r="G374" s="210">
        <v>0.2799354925413251</v>
      </c>
      <c r="H374" s="213">
        <v>0.30287965725699029</v>
      </c>
    </row>
    <row r="375" spans="1:8" ht="15" customHeight="1">
      <c r="A375" s="689" t="s">
        <v>56</v>
      </c>
      <c r="B375" s="690"/>
      <c r="C375" s="209">
        <v>0.13718820861678005</v>
      </c>
      <c r="D375" s="210">
        <v>-9.5486111111111119E-3</v>
      </c>
      <c r="E375" s="211">
        <v>0.15274154426627143</v>
      </c>
      <c r="F375" s="212">
        <v>0.34695912263210371</v>
      </c>
      <c r="G375" s="210">
        <v>0.39263803680981596</v>
      </c>
      <c r="H375" s="213">
        <v>0.45840636998443518</v>
      </c>
    </row>
    <row r="376" spans="1:8" ht="15" customHeight="1">
      <c r="A376" s="689" t="s">
        <v>57</v>
      </c>
      <c r="B376" s="690"/>
      <c r="C376" s="209">
        <v>1.7730791642387413E-2</v>
      </c>
      <c r="D376" s="210">
        <v>3.3825816485225507E-2</v>
      </c>
      <c r="E376" s="211">
        <v>0.11866430585282929</v>
      </c>
      <c r="F376" s="212">
        <v>0.17798135121871422</v>
      </c>
      <c r="G376" s="210">
        <v>0.16422213864861476</v>
      </c>
      <c r="H376" s="213">
        <v>0.39500646229884306</v>
      </c>
    </row>
    <row r="377" spans="1:8" ht="15" customHeight="1">
      <c r="A377" s="689" t="s">
        <v>58</v>
      </c>
      <c r="B377" s="690"/>
      <c r="C377" s="209">
        <v>2.0985401459854013E-2</v>
      </c>
      <c r="D377" s="210">
        <v>5.0673821574486251E-2</v>
      </c>
      <c r="E377" s="211">
        <v>0.12352924744418538</v>
      </c>
      <c r="F377" s="212">
        <v>0.18899016979445935</v>
      </c>
      <c r="G377" s="210">
        <v>0.20435287289611143</v>
      </c>
      <c r="H377" s="213">
        <v>0.5246504904726973</v>
      </c>
    </row>
    <row r="378" spans="1:8" ht="15" customHeight="1">
      <c r="A378" s="689" t="s">
        <v>59</v>
      </c>
      <c r="B378" s="690"/>
      <c r="C378" s="209">
        <v>3.7750286953194746E-2</v>
      </c>
      <c r="D378" s="210">
        <v>4.3101626875132054E-2</v>
      </c>
      <c r="E378" s="211">
        <v>0.1059338791301957</v>
      </c>
      <c r="F378" s="212">
        <v>0.22035148088976281</v>
      </c>
      <c r="G378" s="210">
        <v>0.26230504354871381</v>
      </c>
      <c r="H378" s="213">
        <v>0.43932551715141882</v>
      </c>
    </row>
    <row r="379" spans="1:8" ht="15" customHeight="1">
      <c r="A379" s="689" t="s">
        <v>60</v>
      </c>
      <c r="B379" s="690"/>
      <c r="C379" s="209">
        <v>-2.127925898109901E-2</v>
      </c>
      <c r="D379" s="210">
        <v>1.6461721539071796E-2</v>
      </c>
      <c r="E379" s="211">
        <v>4.7094761210614587E-2</v>
      </c>
      <c r="F379" s="212">
        <v>0.18045785906126102</v>
      </c>
      <c r="G379" s="210">
        <v>2.0292682926829269E-2</v>
      </c>
      <c r="H379" s="213">
        <v>0.23224221949313206</v>
      </c>
    </row>
    <row r="380" spans="1:8" ht="15" customHeight="1" thickBot="1">
      <c r="A380" s="725" t="s">
        <v>61</v>
      </c>
      <c r="B380" s="726"/>
      <c r="C380" s="214">
        <v>8.7435709037472442E-2</v>
      </c>
      <c r="D380" s="215">
        <v>8.7485979810927733E-2</v>
      </c>
      <c r="E380" s="216">
        <v>0.11213913712883336</v>
      </c>
      <c r="F380" s="217">
        <v>0.3024774774774775</v>
      </c>
      <c r="G380" s="215">
        <v>0.47900397819360541</v>
      </c>
      <c r="H380" s="218">
        <v>0.59537509355545759</v>
      </c>
    </row>
    <row r="381" spans="1:8" ht="15" customHeight="1" thickBot="1">
      <c r="A381" s="727" t="s">
        <v>5</v>
      </c>
      <c r="B381" s="728"/>
      <c r="C381" s="219">
        <v>1.4598300404863618E-2</v>
      </c>
      <c r="D381" s="220">
        <v>2.431154614714312E-2</v>
      </c>
      <c r="E381" s="221">
        <v>0.10849416215328678</v>
      </c>
      <c r="F381" s="222">
        <v>0.2119500004316261</v>
      </c>
      <c r="G381" s="220">
        <v>0.17566007051685026</v>
      </c>
      <c r="H381" s="223">
        <v>0.39641338051212116</v>
      </c>
    </row>
    <row r="382" spans="1:8" ht="13.5" customHeight="1">
      <c r="A382" s="127"/>
      <c r="B382" s="127"/>
      <c r="C382" s="127"/>
      <c r="D382" s="127"/>
      <c r="E382" s="127"/>
      <c r="F382" s="127"/>
      <c r="G382" s="127"/>
      <c r="H382" s="127"/>
    </row>
    <row r="383" spans="1:8" ht="13.5" customHeight="1">
      <c r="A383" s="127"/>
      <c r="B383" s="127"/>
      <c r="C383" s="127"/>
      <c r="D383" s="127"/>
      <c r="E383" s="127"/>
      <c r="F383" s="127"/>
      <c r="G383" s="127"/>
      <c r="H383" s="127"/>
    </row>
    <row r="384" spans="1:8" ht="13.5" customHeight="1">
      <c r="A384" s="127"/>
      <c r="B384" s="127"/>
      <c r="C384" s="127"/>
      <c r="D384" s="127"/>
      <c r="E384" s="127"/>
      <c r="F384" s="127"/>
      <c r="G384" s="127"/>
      <c r="H384" s="127"/>
    </row>
    <row r="385" spans="1:16" ht="13.5" customHeight="1">
      <c r="A385" s="127"/>
      <c r="B385" s="127"/>
      <c r="C385" s="127"/>
      <c r="D385" s="127"/>
      <c r="E385" s="127"/>
      <c r="F385" s="127"/>
      <c r="G385" s="127"/>
      <c r="H385" s="127"/>
    </row>
    <row r="386" spans="1:16" ht="13.5" customHeight="1">
      <c r="A386" s="127"/>
      <c r="B386" s="127"/>
      <c r="C386" s="127"/>
      <c r="D386" s="127"/>
      <c r="E386" s="127"/>
      <c r="F386" s="127"/>
      <c r="G386" s="127"/>
      <c r="H386" s="127"/>
    </row>
    <row r="387" spans="1:16" ht="39.75" customHeight="1">
      <c r="A387" s="693" t="str">
        <f>"Figure " &amp; $I$387 &amp;" - Scotland's ten year and twenty year projected percentage change of older people (aged 65-74, 75-84 and 85+) - 2008 based estimates"</f>
        <v>Figure 16 - Scotland's ten year and twenty year projected percentage change of older people (aged 65-74, 75-84 and 85+) - 2008 based estimates</v>
      </c>
      <c r="B387" s="694"/>
      <c r="C387" s="694"/>
      <c r="D387" s="694"/>
      <c r="E387" s="694"/>
      <c r="F387" s="694"/>
      <c r="G387" s="694"/>
      <c r="H387" s="694"/>
      <c r="I387" s="156">
        <f>$I$346+1</f>
        <v>16</v>
      </c>
    </row>
    <row r="388" spans="1:16" ht="12.75" customHeight="1">
      <c r="A388" s="127"/>
      <c r="B388" s="127"/>
      <c r="C388" s="127"/>
      <c r="D388" s="127"/>
      <c r="E388" s="127"/>
      <c r="F388" s="127"/>
      <c r="G388" s="127"/>
      <c r="H388" s="127"/>
    </row>
    <row r="389" spans="1:16" ht="12.75" customHeight="1">
      <c r="A389" s="127"/>
      <c r="B389" s="127"/>
      <c r="C389" s="127"/>
      <c r="D389" s="127"/>
      <c r="E389" s="127"/>
      <c r="F389" s="127"/>
      <c r="G389" s="127"/>
      <c r="H389" s="127"/>
    </row>
    <row r="390" spans="1:16" ht="12.75" customHeight="1">
      <c r="A390" s="127"/>
      <c r="B390" s="127"/>
      <c r="C390" s="127"/>
      <c r="D390" s="127"/>
      <c r="E390" s="127"/>
      <c r="F390" s="127"/>
      <c r="G390" s="127"/>
      <c r="H390" s="127"/>
    </row>
    <row r="391" spans="1:16" ht="12.75" customHeight="1">
      <c r="A391" s="127"/>
      <c r="B391" s="127"/>
      <c r="C391" s="127"/>
      <c r="D391" s="127"/>
      <c r="E391" s="127"/>
      <c r="F391" s="127"/>
      <c r="G391" s="127"/>
      <c r="H391" s="127"/>
    </row>
    <row r="392" spans="1:16" ht="12.75" customHeight="1">
      <c r="A392" s="127"/>
      <c r="B392" s="127"/>
      <c r="C392" s="127"/>
      <c r="D392" s="127"/>
      <c r="E392" s="127"/>
      <c r="F392" s="127"/>
      <c r="G392" s="127"/>
      <c r="H392" s="127"/>
    </row>
    <row r="393" spans="1:16" ht="12.75" customHeight="1">
      <c r="A393" s="127"/>
      <c r="B393" s="127"/>
      <c r="C393" s="127"/>
      <c r="D393" s="127"/>
      <c r="E393" s="127"/>
      <c r="F393" s="127"/>
      <c r="G393" s="127"/>
      <c r="H393" s="127"/>
      <c r="K393" t="s">
        <v>174</v>
      </c>
      <c r="L393" t="s">
        <v>175</v>
      </c>
      <c r="M393" t="s">
        <v>176</v>
      </c>
      <c r="N393" t="s">
        <v>177</v>
      </c>
      <c r="O393" t="s">
        <v>170</v>
      </c>
      <c r="P393" t="s">
        <v>171</v>
      </c>
    </row>
    <row r="394" spans="1:16" ht="12.75" customHeight="1">
      <c r="A394" s="127"/>
      <c r="B394" s="127"/>
      <c r="C394" s="127"/>
      <c r="D394" s="127"/>
      <c r="E394" s="127"/>
      <c r="F394" s="127"/>
      <c r="G394" s="127"/>
      <c r="H394" s="127"/>
      <c r="J394" t="s">
        <v>160</v>
      </c>
      <c r="K394" s="18">
        <f>MIN('Population Projections 65+'!O4:O35)</f>
        <v>-3.7714285714285714E-2</v>
      </c>
      <c r="L394" s="18">
        <f>MIN('Population Projections 65+'!P4:P35)</f>
        <v>-6.3346938775510203E-2</v>
      </c>
      <c r="M394" s="18">
        <f>MIN('Population Projections 65+'!R4:R35)</f>
        <v>9.6317787807149516E-2</v>
      </c>
      <c r="N394" s="18">
        <f>MIN('Population Projections 65+'!S4:S35)</f>
        <v>0.30320781032078103</v>
      </c>
      <c r="O394" s="18">
        <f>MIN('Population Projections 65+'!U4:U35)</f>
        <v>0.18497413868677129</v>
      </c>
      <c r="P394" s="18">
        <f>MIN('Population Projections 65+'!V4:V35)</f>
        <v>0.51670027176295252</v>
      </c>
    </row>
    <row r="395" spans="1:16" ht="12.75" customHeight="1">
      <c r="A395" s="127"/>
      <c r="B395" s="127"/>
      <c r="C395" s="127"/>
      <c r="D395" s="127"/>
      <c r="E395" s="127"/>
      <c r="F395" s="127"/>
      <c r="G395" s="127"/>
      <c r="H395" s="127"/>
      <c r="J395" t="s">
        <v>5</v>
      </c>
      <c r="K395" s="121">
        <f>'Population Projections 65+'!O$36</f>
        <v>0.1256705782623577</v>
      </c>
      <c r="L395" s="121">
        <f>'Population Projections 65+'!P$36</f>
        <v>0.23149115324386971</v>
      </c>
      <c r="M395" s="121">
        <f>'Population Projections 65+'!R$36</f>
        <v>0.30710806646425082</v>
      </c>
      <c r="N395" s="121">
        <f>'Population Projections 65+'!S$36</f>
        <v>0.52644069951535222</v>
      </c>
      <c r="O395" s="121">
        <f>'Population Projections 65+'!U$36</f>
        <v>0.42870850421728701</v>
      </c>
      <c r="P395" s="121">
        <f>'Population Projections 65+'!V$36</f>
        <v>1.1240965720034048</v>
      </c>
    </row>
    <row r="396" spans="1:16" ht="12.75" customHeight="1">
      <c r="A396" s="127"/>
      <c r="B396" s="127"/>
      <c r="C396" s="127"/>
      <c r="D396" s="127"/>
      <c r="E396" s="127"/>
      <c r="F396" s="127"/>
      <c r="G396" s="127"/>
      <c r="H396" s="127"/>
      <c r="J396" t="s">
        <v>161</v>
      </c>
      <c r="K396" s="18">
        <f>MAX('Population Projections 65+'!O4:O35)</f>
        <v>0.27562385138276907</v>
      </c>
      <c r="L396" s="18">
        <f>MAX('Population Projections 65+'!P4:P35)</f>
        <v>0.44011690985984103</v>
      </c>
      <c r="M396" s="18">
        <f>MAX('Population Projections 65+'!R4:R35)</f>
        <v>0.5046759109964527</v>
      </c>
      <c r="N396" s="18">
        <f>MAX('Population Projections 65+'!S4:S35)</f>
        <v>0.70493224932249321</v>
      </c>
      <c r="O396" s="18">
        <f>MAX('Population Projections 65+'!U4:U35)</f>
        <v>0.73570948217888366</v>
      </c>
      <c r="P396" s="18">
        <f>MAX('Population Projections 65+'!V4:V35)</f>
        <v>1.7612642905178211</v>
      </c>
    </row>
    <row r="397" spans="1:16" ht="12.75" customHeight="1">
      <c r="A397" s="127"/>
      <c r="B397" s="127"/>
      <c r="C397" s="127"/>
      <c r="D397" s="127"/>
      <c r="E397" s="127"/>
      <c r="F397" s="127"/>
      <c r="G397" s="127"/>
      <c r="H397" s="127"/>
    </row>
    <row r="398" spans="1:16" ht="12.75" customHeight="1">
      <c r="A398" s="127"/>
      <c r="B398" s="127"/>
      <c r="C398" s="127"/>
      <c r="D398" s="127"/>
      <c r="E398" s="127"/>
      <c r="F398" s="127"/>
      <c r="G398" s="127"/>
      <c r="H398" s="127"/>
    </row>
    <row r="399" spans="1:16" ht="12.75" customHeight="1">
      <c r="A399" s="127"/>
      <c r="B399" s="127"/>
      <c r="C399" s="127"/>
      <c r="D399" s="127"/>
      <c r="E399" s="127"/>
      <c r="F399" s="127"/>
      <c r="G399" s="127"/>
      <c r="H399" s="127"/>
    </row>
    <row r="400" spans="1:16" ht="12.75" customHeight="1">
      <c r="A400" s="127"/>
      <c r="B400" s="127"/>
      <c r="C400" s="127"/>
      <c r="D400" s="127"/>
      <c r="E400" s="127"/>
      <c r="F400" s="127"/>
      <c r="G400" s="127"/>
      <c r="H400" s="127"/>
    </row>
    <row r="401" spans="1:17" ht="12.75" customHeight="1">
      <c r="A401" s="127"/>
      <c r="B401" s="127"/>
      <c r="C401" s="127"/>
      <c r="D401" s="127"/>
      <c r="E401" s="127"/>
      <c r="F401" s="127"/>
      <c r="G401" s="127"/>
      <c r="H401" s="127"/>
    </row>
    <row r="402" spans="1:17" ht="12.75" customHeight="1">
      <c r="A402" s="127"/>
      <c r="B402" s="127"/>
      <c r="C402" s="127"/>
      <c r="D402" s="127"/>
      <c r="E402" s="127"/>
      <c r="F402" s="127"/>
      <c r="G402" s="127"/>
      <c r="H402" s="127"/>
    </row>
    <row r="403" spans="1:17" ht="18">
      <c r="A403" s="127"/>
      <c r="B403" s="127"/>
      <c r="C403" s="127"/>
      <c r="D403" s="127"/>
      <c r="E403" s="127"/>
      <c r="F403" s="127"/>
      <c r="G403" s="127"/>
      <c r="H403" s="127"/>
    </row>
    <row r="404" spans="1:17" ht="18">
      <c r="A404" s="127"/>
      <c r="B404" s="127"/>
      <c r="C404" s="127"/>
      <c r="D404" s="127"/>
      <c r="E404" s="127"/>
      <c r="F404" s="127"/>
      <c r="G404" s="127"/>
      <c r="H404" s="127"/>
    </row>
    <row r="407" spans="1:17" ht="28.5" customHeight="1">
      <c r="A407" s="693" t="str">
        <f>"Figure " &amp; $I$407 &amp; " - Scotland's movement in older people's social work expenditure"</f>
        <v>Figure 17 - Scotland's movement in older people's social work expenditure</v>
      </c>
      <c r="B407" s="694"/>
      <c r="C407" s="694"/>
      <c r="D407" s="694"/>
      <c r="E407" s="694"/>
      <c r="F407" s="694"/>
      <c r="G407" s="694"/>
      <c r="H407" s="694"/>
      <c r="I407" s="156">
        <f>$I$387+1</f>
        <v>17</v>
      </c>
    </row>
    <row r="409" spans="1:17">
      <c r="J409" t="s">
        <v>25</v>
      </c>
    </row>
    <row r="410" spans="1:17" ht="25.5">
      <c r="J410" s="106"/>
      <c r="K410" s="91"/>
      <c r="L410" s="10" t="s">
        <v>136</v>
      </c>
      <c r="M410" s="10" t="s">
        <v>3</v>
      </c>
      <c r="N410" s="10" t="s">
        <v>4</v>
      </c>
      <c r="O410" s="10" t="s">
        <v>0</v>
      </c>
      <c r="P410" s="10" t="s">
        <v>1</v>
      </c>
      <c r="Q410" s="10" t="s">
        <v>28</v>
      </c>
    </row>
    <row r="411" spans="1:17">
      <c r="J411" s="629">
        <f>C5</f>
        <v>0</v>
      </c>
      <c r="K411" s="629"/>
      <c r="L411" s="226">
        <f>('LFR Data'!$H2/'LFR Data'!$H$2)-1</f>
        <v>0</v>
      </c>
      <c r="M411" s="226">
        <f>('LFR Data'!$H3/'LFR Data'!$H$2)-1</f>
        <v>-4.7086709371153557E-3</v>
      </c>
      <c r="N411" s="226">
        <f>('LFR Data'!$H4/'LFR Data'!$H$2)-1</f>
        <v>3.6401671117778367E-3</v>
      </c>
      <c r="O411" s="226">
        <f>('LFR Data'!$H5/'LFR Data'!$H$2)-1</f>
        <v>-1.2404430354294504E-2</v>
      </c>
      <c r="P411" s="226">
        <f>('LFR Data'!$H6/'LFR Data'!$H$2)-1</f>
        <v>-1.0694868707463279E-2</v>
      </c>
      <c r="Q411" s="226">
        <f>('LFR Data'!$H7/'LFR Data'!$H$2)-1</f>
        <v>1.7723923248672113E-2</v>
      </c>
    </row>
    <row r="412" spans="1:17">
      <c r="J412" s="629" t="s">
        <v>5</v>
      </c>
      <c r="K412" s="629"/>
      <c r="L412" s="226">
        <f>('LFR Data'!$H14/'LFR Data'!$H$14)-1</f>
        <v>0</v>
      </c>
      <c r="M412" s="226">
        <f>('LFR Data'!$H15/'LFR Data'!$H$14)-1</f>
        <v>4.822141491305465E-2</v>
      </c>
      <c r="N412" s="226">
        <f>('LFR Data'!$H16/'LFR Data'!$H$14)-1</f>
        <v>9.6412296088075777E-2</v>
      </c>
      <c r="O412" s="226">
        <f>('LFR Data'!$H17/'LFR Data'!$H$14)-1</f>
        <v>0.13419112455462789</v>
      </c>
      <c r="P412" s="226">
        <f>('LFR Data'!$H18/'LFR Data'!$H$14)-1</f>
        <v>0.1458517412208955</v>
      </c>
      <c r="Q412" s="226">
        <f>('LFR Data'!$H19/'LFR Data'!$H$14)-1</f>
        <v>0.12074151465138305</v>
      </c>
    </row>
    <row r="421" spans="1:12">
      <c r="K421" s="11"/>
      <c r="L421" s="11"/>
    </row>
    <row r="425" spans="1:12">
      <c r="A425" s="16" t="str">
        <f>"- Over the period, spend has moved from £"&amp;ROUND('LFR Data'!H14,-2)/1000&amp;" million to £"&amp;ROUND('LFR Data'!H19,-2)/1000&amp;" million (in real terms)"</f>
        <v>- Over the period, spend has moved from £1485.2 million to £1664.5 million (in real terms)</v>
      </c>
    </row>
    <row r="426" spans="1:12">
      <c r="A426" s="16" t="str">
        <f>"- This represents a movement of "&amp;ROUND('LFR Data'!H24*100,0)&amp;"%"</f>
        <v>- This represents a movement of 14%</v>
      </c>
    </row>
    <row r="427" spans="1:12">
      <c r="A427" s="691" t="str">
        <f>"- As a proportion of total social work spend, nationally, this accounts for "&amp;ROUND(D60,2)*100&amp;"% (2003/04 "&amp;ROUND(C60,2)*100&amp;"%)"</f>
        <v>- As a proportion of total social work spend, nationally, this accounts for 45% (2003/04 45%)</v>
      </c>
      <c r="B427" s="692"/>
      <c r="C427" s="692"/>
      <c r="D427" s="692"/>
      <c r="E427" s="692"/>
      <c r="F427" s="692"/>
      <c r="G427" s="692"/>
      <c r="H427" s="692"/>
    </row>
    <row r="428" spans="1:12" ht="26.25" customHeight="1">
      <c r="A428" s="691"/>
      <c r="B428" s="692"/>
      <c r="C428" s="692"/>
      <c r="D428" s="692"/>
      <c r="E428" s="692"/>
      <c r="F428" s="692"/>
      <c r="G428" s="692"/>
      <c r="H428" s="692"/>
    </row>
    <row r="429" spans="1:12" ht="27" customHeight="1"/>
    <row r="430" spans="1:12">
      <c r="A430" s="50"/>
    </row>
    <row r="431" spans="1:12" ht="30" customHeight="1">
      <c r="A431" s="693" t="str">
        <f>"Figure " &amp; $I$431&amp;" - Scotland's older people's social work expenditure"</f>
        <v>Figure 18 - Scotland's older people's social work expenditure</v>
      </c>
      <c r="B431" s="694"/>
      <c r="C431" s="694"/>
      <c r="D431" s="694"/>
      <c r="E431" s="694"/>
      <c r="F431" s="694"/>
      <c r="G431" s="694"/>
      <c r="H431" s="694"/>
      <c r="I431" s="156">
        <f>$I$407+1</f>
        <v>18</v>
      </c>
    </row>
    <row r="435" spans="10:17">
      <c r="J435" s="106"/>
      <c r="K435" s="91"/>
      <c r="L435" s="10" t="s">
        <v>2</v>
      </c>
      <c r="M435" s="10" t="s">
        <v>3</v>
      </c>
      <c r="N435" s="10" t="s">
        <v>4</v>
      </c>
      <c r="O435" s="10" t="s">
        <v>0</v>
      </c>
      <c r="P435" s="10" t="s">
        <v>1</v>
      </c>
      <c r="Q435" s="10" t="s">
        <v>28</v>
      </c>
    </row>
    <row r="436" spans="10:17">
      <c r="J436" s="629">
        <f>C5</f>
        <v>0</v>
      </c>
      <c r="K436" s="629"/>
      <c r="L436" s="234" t="e">
        <f>VLOOKUP(Scotland!$C$5,'2003-04'!$O$2:$AA$34,6)</f>
        <v>#N/A</v>
      </c>
      <c r="M436" s="234" t="e">
        <f>VLOOKUP(Scotland!$C$5,'2004-05'!$O$2:$AA$34,6)</f>
        <v>#N/A</v>
      </c>
      <c r="N436" s="234" t="e">
        <f>VLOOKUP(Scotland!$C$5,'2005-06'!$O$2:$AA$34,6)</f>
        <v>#N/A</v>
      </c>
      <c r="O436" s="234" t="e">
        <f>VLOOKUP(Scotland!$C$5,'2006-07'!$O$2:$AA$34,6)</f>
        <v>#N/A</v>
      </c>
      <c r="P436" s="234" t="e">
        <f>VLOOKUP(Scotland!$C$5,'2007-08'!$O$2:$AA$34,6)</f>
        <v>#N/A</v>
      </c>
      <c r="Q436" s="234" t="e">
        <f>VLOOKUP(Scotland!$C$5,'2008-09'!$O$2:$AA$34,6)</f>
        <v>#N/A</v>
      </c>
    </row>
    <row r="437" spans="10:17">
      <c r="J437" s="629" t="s">
        <v>5</v>
      </c>
      <c r="K437" s="629"/>
      <c r="L437" s="234">
        <f>'2003-04'!$T$35</f>
        <v>1716.7895981970539</v>
      </c>
      <c r="M437" s="234">
        <f>'2004-05'!$T$35</f>
        <v>1759.2771006316841</v>
      </c>
      <c r="N437" s="234">
        <f>'2005-06'!$T$35</f>
        <v>1782.7640193268971</v>
      </c>
      <c r="O437" s="234">
        <f>'2006-07'!$T$35</f>
        <v>1857.8620376218603</v>
      </c>
      <c r="P437" s="234">
        <f>'2007-08'!$T$35</f>
        <v>1925.7065761209928</v>
      </c>
      <c r="Q437" s="234">
        <f>'2008-09'!$T$35</f>
        <v>1966.6403310508738</v>
      </c>
    </row>
    <row r="438" spans="10:17">
      <c r="K438" t="s">
        <v>160</v>
      </c>
      <c r="L438" s="11">
        <f>MIN('2003-04'!$T$3:$T$34)</f>
        <v>1120.3937023176686</v>
      </c>
      <c r="M438" s="11">
        <f>MIN('2004-05'!$T$3:$T$34)</f>
        <v>1112.032729825658</v>
      </c>
      <c r="N438" s="11">
        <f>MIN('2005-06'!$T$3:$T$34)</f>
        <v>1128.1241915949995</v>
      </c>
      <c r="O438" s="11">
        <f>MIN('2006-07'!$T$3:$T$34)</f>
        <v>1205.0569635348493</v>
      </c>
      <c r="P438" s="11">
        <f>MIN('2007-08'!$T$3:$T$34)</f>
        <v>1244.0992076183945</v>
      </c>
      <c r="Q438" s="11">
        <f>MIN('2008-09'!$T$3:$T$34)</f>
        <v>1273.1423997518855</v>
      </c>
    </row>
    <row r="439" spans="10:17">
      <c r="K439" t="s">
        <v>161</v>
      </c>
      <c r="L439" s="11">
        <f>MAX('2003-04'!$T$3:$T$34)</f>
        <v>2692.0803040060123</v>
      </c>
      <c r="M439" s="11">
        <f>MAX('2004-05'!$T$3:$T$34)</f>
        <v>2692.3500393489712</v>
      </c>
      <c r="N439" s="11">
        <f>MAX('2005-06'!$T$3:$T$34)</f>
        <v>3471.7851428194872</v>
      </c>
      <c r="O439" s="11">
        <f>MAX('2006-07'!$T$3:$T$34)</f>
        <v>3283.1972982154457</v>
      </c>
      <c r="P439" s="11">
        <f>MAX('2007-08'!$T$3:$T$34)</f>
        <v>3087.5163940941525</v>
      </c>
      <c r="Q439" s="11">
        <f>MAX('2008-09'!$T$3:$T$34)</f>
        <v>3441.0112593310623</v>
      </c>
    </row>
    <row r="451" spans="1:9">
      <c r="A451" s="50" t="str">
        <f>"- The spend per head of population aged 65+ in 2008/09:"</f>
        <v>- The spend per head of population aged 65+ in 2008/09:</v>
      </c>
    </row>
    <row r="452" spans="1:9">
      <c r="A452" s="50" t="str">
        <f>"      - The average spend per head across Scotland has moved from £"&amp;ROUND(L437,0)&amp;" to £"&amp;ROUND(Q437,0)</f>
        <v xml:space="preserve">      - The average spend per head across Scotland has moved from £1717 to £1967</v>
      </c>
    </row>
    <row r="453" spans="1:9">
      <c r="A453" s="50" t="str">
        <f>"      - The minimum spend per head across Scotland has moved from £"&amp;ROUND(L438,0)&amp;" to £"&amp;ROUND(Q438,0)</f>
        <v xml:space="preserve">      - The minimum spend per head across Scotland has moved from £1120 to £1273</v>
      </c>
    </row>
    <row r="454" spans="1:9">
      <c r="A454" s="50" t="str">
        <f>"      - The maximum spend per head across Scotland has moved from £"&amp;ROUND(L439,0)&amp;" to £"&amp;ROUND(Q439,0)</f>
        <v xml:space="preserve">      - The maximum spend per head across Scotland has moved from £2692 to £3441</v>
      </c>
    </row>
    <row r="455" spans="1:9">
      <c r="A455" s="50"/>
    </row>
    <row r="456" spans="1:9">
      <c r="A456" s="693" t="str">
        <f>"Figure " &amp; $I$456 &amp; " - Older people social work spend per head across Scotland"</f>
        <v>Figure 19 - Older people social work spend per head across Scotland</v>
      </c>
      <c r="B456" s="694"/>
      <c r="C456" s="694"/>
      <c r="D456" s="694"/>
      <c r="E456" s="694"/>
      <c r="F456" s="694"/>
      <c r="G456" s="694"/>
      <c r="H456" s="694"/>
      <c r="I456" s="156">
        <f>$I$431+1</f>
        <v>19</v>
      </c>
    </row>
    <row r="457" spans="1:9">
      <c r="A457" s="88"/>
    </row>
    <row r="473" spans="1:8">
      <c r="A473" s="16"/>
    </row>
    <row r="474" spans="1:8">
      <c r="A474" s="16"/>
    </row>
    <row r="475" spans="1:8">
      <c r="A475" s="16"/>
    </row>
    <row r="477" spans="1:8" ht="13.5" customHeight="1">
      <c r="A477" s="704"/>
      <c r="B477" s="694"/>
      <c r="C477" s="694"/>
      <c r="D477" s="694"/>
      <c r="E477" s="694"/>
      <c r="F477" s="694"/>
      <c r="G477" s="694"/>
      <c r="H477" s="694"/>
    </row>
    <row r="478" spans="1:8" ht="13.5" customHeight="1">
      <c r="A478" s="704" t="str">
        <f>"- The spend per head nationally in 2008/09 was £"&amp;ROUND('Per Capita Data - Older'!D39,0) &amp; " (represented by the horizontal line)"</f>
        <v>- The spend per head nationally in 2008/09 was £1853 (represented by the horizontal line)</v>
      </c>
      <c r="B478" s="694"/>
      <c r="C478" s="694"/>
      <c r="D478" s="694"/>
      <c r="E478" s="694"/>
      <c r="F478" s="694"/>
      <c r="G478" s="694"/>
      <c r="H478" s="694"/>
    </row>
    <row r="479" spans="1:8" ht="13.5" customHeight="1">
      <c r="A479" t="str">
        <f>"- The range of per head spend in 2008/09 was £"&amp;ROUND('Per Capita Data - Older'!D37,0)&amp;" to £"&amp;ROUND('Per Capita Data - Older'!D38,0)</f>
        <v>- The range of per head spend in 2008/09 was £1172 to £4278</v>
      </c>
    </row>
    <row r="481" spans="1:17" ht="28.5" customHeight="1">
      <c r="A481" s="693" t="str">
        <f>"Figure " &amp; $I$481 &amp; " - Scotland's rate of older people supported in care homes"</f>
        <v>Figure 20 - Scotland's rate of older people supported in care homes</v>
      </c>
      <c r="B481" s="694"/>
      <c r="C481" s="694"/>
      <c r="D481" s="694"/>
      <c r="E481" s="694"/>
      <c r="F481" s="694"/>
      <c r="G481" s="694"/>
      <c r="H481" s="694"/>
      <c r="I481" s="156">
        <f>$I$456+1</f>
        <v>20</v>
      </c>
    </row>
    <row r="485" spans="1:17">
      <c r="L485" t="s">
        <v>2</v>
      </c>
      <c r="M485" t="s">
        <v>3</v>
      </c>
      <c r="N485" t="s">
        <v>4</v>
      </c>
      <c r="O485" t="s">
        <v>0</v>
      </c>
      <c r="P485" t="s">
        <v>1</v>
      </c>
      <c r="Q485" t="s">
        <v>28</v>
      </c>
    </row>
    <row r="486" spans="1:17">
      <c r="K486">
        <f>$C$5</f>
        <v>0</v>
      </c>
      <c r="L486" s="90" t="e">
        <f>VLOOKUP($C$5,'Statistics - Older People'!$A$19:$R$52,8,0)</f>
        <v>#N/A</v>
      </c>
      <c r="M486" s="90" t="e">
        <f>VLOOKUP($C$5,'Statistics - Older People'!$A$19:$R$52,9,0)</f>
        <v>#N/A</v>
      </c>
      <c r="N486" s="90" t="e">
        <f>VLOOKUP($C$5,'Statistics - Older People'!$A$19:$R$52,10,0)</f>
        <v>#N/A</v>
      </c>
      <c r="O486" s="90" t="e">
        <f>VLOOKUP($C$5,'Statistics - Older People'!$A$19:$R$52,11,0)</f>
        <v>#N/A</v>
      </c>
      <c r="P486" s="90" t="e">
        <f>VLOOKUP($C$5,'Statistics - Older People'!$A$19:$R$52,12,0)</f>
        <v>#N/A</v>
      </c>
      <c r="Q486" s="90" t="e">
        <f>VLOOKUP($C$5,'Statistics - Older People'!$A$19:$R$52,13,0)</f>
        <v>#N/A</v>
      </c>
    </row>
    <row r="487" spans="1:17">
      <c r="K487" t="s">
        <v>5</v>
      </c>
      <c r="L487" s="90">
        <f>'Statistics - Older People'!M$52</f>
        <v>38.435038543069567</v>
      </c>
      <c r="M487" s="90">
        <f>'Statistics - Older People'!N$52</f>
        <v>37.805739598648159</v>
      </c>
      <c r="N487" s="90">
        <f>'Statistics - Older People'!O$52</f>
        <v>37.523074976378084</v>
      </c>
      <c r="O487" s="90">
        <f>'Statistics - Older People'!P$52</f>
        <v>36.810761397851593</v>
      </c>
      <c r="P487" s="90">
        <f>'Statistics - Older People'!Q$52</f>
        <v>36.234387089642972</v>
      </c>
      <c r="Q487" s="90">
        <f>'Statistics - Older People'!R$52</f>
        <v>35.270360617265418</v>
      </c>
    </row>
    <row r="488" spans="1:17">
      <c r="K488" t="s">
        <v>160</v>
      </c>
      <c r="L488" s="90">
        <f>MIN('Statistics - Older People'!M$20:M$51)</f>
        <v>26.46280505733608</v>
      </c>
      <c r="M488" s="90">
        <f>MIN('Statistics - Older People'!N$20:N$51)</f>
        <v>26.191723415400734</v>
      </c>
      <c r="N488" s="90">
        <f>MIN('Statistics - Older People'!O$20:O$51)</f>
        <v>27.048958615093319</v>
      </c>
      <c r="O488" s="90">
        <f>MIN('Statistics - Older People'!P$20:P$51)</f>
        <v>28.336639274582033</v>
      </c>
      <c r="P488" s="90">
        <f>MIN('Statistics - Older People'!Q$20:Q$51)</f>
        <v>27.258738184216309</v>
      </c>
      <c r="Q488" s="90">
        <f>MIN('Statistics - Older People'!R$20:R$51)</f>
        <v>25.100401606425702</v>
      </c>
    </row>
    <row r="489" spans="1:17">
      <c r="K489" t="s">
        <v>161</v>
      </c>
      <c r="L489" s="90">
        <f>MAX('Statistics - Older People'!M$20:M$51)</f>
        <v>44.986918277711347</v>
      </c>
      <c r="M489" s="90">
        <f>MAX('Statistics - Older People'!N$20:N$51)</f>
        <v>53.629142052113792</v>
      </c>
      <c r="N489" s="90">
        <f>MAX('Statistics - Older People'!O$20:O$51)</f>
        <v>53.210656545030872</v>
      </c>
      <c r="O489" s="90">
        <f>MAX('Statistics - Older People'!P$20:P$51)</f>
        <v>52.164840897235266</v>
      </c>
      <c r="P489" s="90">
        <f>MAX('Statistics - Older People'!Q$20:Q$51)</f>
        <v>51.260669086628084</v>
      </c>
      <c r="Q489" s="90">
        <f>MAX('Statistics - Older People'!R$20:R$51)</f>
        <v>49.46638141053387</v>
      </c>
    </row>
    <row r="500" spans="1:9">
      <c r="A500" s="50" t="str">
        <f>"- The rate of older people supported in care homes per 1,000 population aged 65+:"</f>
        <v>- The rate of older people supported in care homes per 1,000 population aged 65+:</v>
      </c>
    </row>
    <row r="501" spans="1:9">
      <c r="A501" s="50" t="str">
        <f>"      - The average rate in Scotland has moved from "&amp;TEXT($L$487,"0.0")&amp;" to " &amp; TEXT($Q$487,"0.0") &amp; " per 1,000 population"</f>
        <v xml:space="preserve">      - The average rate in Scotland has moved from 38.4 to 35.3 per 1,000 population</v>
      </c>
    </row>
    <row r="502" spans="1:9">
      <c r="A502" s="50" t="str">
        <f>"      - The minumum rate in Scotland has moved from "&amp;TEXT($L$488,"0.0")&amp;" to " &amp; TEXT($Q$488,"0.0") &amp; " per 1,000 population"</f>
        <v xml:space="preserve">      - The minumum rate in Scotland has moved from 26.5 to 25.1 per 1,000 population</v>
      </c>
    </row>
    <row r="503" spans="1:9">
      <c r="A503" s="50" t="str">
        <f>"      - The maximum rate in Scotland has moved from "&amp;TEXT($L$489,"0.0")&amp;" to " &amp; TEXT($Q$489,"0.0") &amp; " per 1,000 population"</f>
        <v xml:space="preserve">      - The maximum rate in Scotland has moved from 45.0 to 49.5 per 1,000 population</v>
      </c>
    </row>
    <row r="505" spans="1:9" ht="15.75" customHeight="1">
      <c r="A505" s="693" t="str">
        <f>"Figure " &amp; $I$505 &amp; " - Rates of older people supported in care homes across Scotland"</f>
        <v>Figure 21 - Rates of older people supported in care homes across Scotland</v>
      </c>
      <c r="B505" s="694"/>
      <c r="C505" s="694"/>
      <c r="D505" s="694"/>
      <c r="E505" s="694"/>
      <c r="F505" s="694"/>
      <c r="G505" s="694"/>
      <c r="H505" s="694"/>
      <c r="I505" s="156">
        <f>$I$481+1</f>
        <v>21</v>
      </c>
    </row>
    <row r="526" spans="1:8" ht="30.75" customHeight="1">
      <c r="A526" s="695"/>
      <c r="B526" s="694"/>
      <c r="C526" s="694"/>
      <c r="D526" s="694"/>
      <c r="E526" s="694"/>
      <c r="F526" s="694"/>
      <c r="G526" s="694"/>
      <c r="H526" s="694"/>
    </row>
    <row r="527" spans="1:8" ht="28.5" customHeight="1">
      <c r="A527" s="695" t="str">
        <f>"- The average rate in Scotland in 2008/09 was " &amp;TEXT($Q$487,"0.0") &amp; " per 1,000 population (represented by the horizontal line)"</f>
        <v>- The average rate in Scotland in 2008/09 was 35.3 per 1,000 population (represented by the horizontal line)</v>
      </c>
      <c r="B527" s="694"/>
      <c r="C527" s="694"/>
      <c r="D527" s="694"/>
      <c r="E527" s="694"/>
      <c r="F527" s="694"/>
      <c r="G527" s="694"/>
      <c r="H527" s="694"/>
    </row>
    <row r="528" spans="1:8" ht="27" customHeight="1">
      <c r="A528" s="695" t="str">
        <f>"- In 2008/09 rates of older people supported in care homes ranged from " &amp; TEXT('Statistics - Older People'!$R$54,"0.0") &amp; " to " &amp; TEXT('Statistics - Older People'!$R$55,"0.0") &amp; " per 1,000 population aged 65+"</f>
        <v>- In 2008/09 rates of older people supported in care homes ranged from 0.0 to 0.0 per 1,000 population aged 65+</v>
      </c>
      <c r="B528" s="694"/>
      <c r="C528" s="694"/>
      <c r="D528" s="694"/>
      <c r="E528" s="694"/>
      <c r="F528" s="694"/>
      <c r="G528" s="694"/>
      <c r="H528" s="694"/>
    </row>
    <row r="529" spans="1:16" ht="26.25" customHeight="1">
      <c r="A529" s="693" t="str">
        <f>"Figure " &amp; $I$529 &amp; " - Scotland's rate of total home care hours provided"</f>
        <v>Figure 22 - Scotland's rate of total home care hours provided</v>
      </c>
      <c r="B529" s="694"/>
      <c r="C529" s="694"/>
      <c r="D529" s="694"/>
      <c r="E529" s="694"/>
      <c r="F529" s="694"/>
      <c r="G529" s="694"/>
      <c r="H529" s="694"/>
      <c r="I529" s="156">
        <f>$I$505+1</f>
        <v>22</v>
      </c>
    </row>
    <row r="530" spans="1:16">
      <c r="A530" s="88"/>
      <c r="K530" s="91"/>
      <c r="L530" s="91">
        <v>2005</v>
      </c>
      <c r="M530" s="91">
        <v>2006</v>
      </c>
      <c r="N530" s="91">
        <v>2007</v>
      </c>
      <c r="O530" s="91">
        <v>2008</v>
      </c>
      <c r="P530" s="91">
        <v>2009</v>
      </c>
    </row>
    <row r="531" spans="1:16">
      <c r="A531" s="88"/>
      <c r="K531" s="110">
        <f>C5</f>
        <v>0</v>
      </c>
      <c r="L531" s="93" t="e">
        <f>VLOOKUP($C$5,'Statistics - Older People'!$A$102:$O$135,7,0)</f>
        <v>#N/A</v>
      </c>
      <c r="M531" s="93" t="e">
        <f>VLOOKUP($C$5,'Statistics - Older People'!$A$102:$O$135,8,0)</f>
        <v>#N/A</v>
      </c>
      <c r="N531" s="93" t="e">
        <f>VLOOKUP($C$5,'Statistics - Older People'!$A$102:$O$135,9,0)</f>
        <v>#N/A</v>
      </c>
      <c r="O531" s="93" t="e">
        <f>VLOOKUP($C$5,'Statistics - Older People'!$A$102:$O$135,10,0)</f>
        <v>#N/A</v>
      </c>
      <c r="P531" s="93" t="e">
        <f>VLOOKUP($C$5,'Statistics - Older People'!$A$102:$O$135,11,0)</f>
        <v>#N/A</v>
      </c>
    </row>
    <row r="532" spans="1:16">
      <c r="A532" s="88"/>
      <c r="K532" s="110" t="s">
        <v>5</v>
      </c>
      <c r="L532" s="93">
        <f>'Statistics - Older People'!K135</f>
        <v>762.80875530532285</v>
      </c>
      <c r="M532" s="93">
        <f>'Statistics - Older People'!L135</f>
        <v>760.04824042692542</v>
      </c>
      <c r="N532" s="93">
        <f>'Statistics - Older People'!M135</f>
        <v>743.48698108565759</v>
      </c>
      <c r="O532" s="93">
        <f>'Statistics - Older People'!N135</f>
        <v>757.74887093913298</v>
      </c>
      <c r="P532" s="93">
        <f>'Statistics - Older People'!O135</f>
        <v>762.91283451811989</v>
      </c>
    </row>
    <row r="533" spans="1:16">
      <c r="A533" s="88"/>
      <c r="K533" t="s">
        <v>160</v>
      </c>
      <c r="L533" s="90">
        <f>MIN('Statistics - Older People'!K$103:K$134)</f>
        <v>312.84814504678343</v>
      </c>
      <c r="M533" s="90">
        <f>MIN('Statistics - Older People'!L$103:L$134)</f>
        <v>290.80779944289691</v>
      </c>
      <c r="N533" s="90">
        <f>MIN('Statistics - Older People'!M$103:M$134)</f>
        <v>294.39635535307519</v>
      </c>
      <c r="O533" s="90">
        <f>MIN('Statistics - Older People'!N$103:N$134)</f>
        <v>294.07105050686283</v>
      </c>
      <c r="P533" s="90">
        <f>MIN('Statistics - Older People'!O$103:O$134)</f>
        <v>270.92928162527443</v>
      </c>
    </row>
    <row r="534" spans="1:16">
      <c r="A534" s="88"/>
      <c r="K534" t="s">
        <v>161</v>
      </c>
      <c r="L534" s="90">
        <f>MAX('Statistics - Older People'!K$103:K$134)</f>
        <v>1438.0488233227959</v>
      </c>
      <c r="M534" s="90">
        <f>MAX('Statistics - Older People'!L$103:L$134)</f>
        <v>1548.8510711817553</v>
      </c>
      <c r="N534" s="90">
        <f>MAX('Statistics - Older People'!M$103:M$134)</f>
        <v>1569.191333276465</v>
      </c>
      <c r="O534" s="90">
        <f>MAX('Statistics - Older People'!N$103:N$134)</f>
        <v>1562.4748812376508</v>
      </c>
      <c r="P534" s="90">
        <f>MAX('Statistics - Older People'!O$103:O$134)</f>
        <v>1635.7225315212052</v>
      </c>
    </row>
    <row r="535" spans="1:16">
      <c r="A535" s="88"/>
    </row>
    <row r="536" spans="1:16">
      <c r="A536" s="88"/>
    </row>
    <row r="537" spans="1:16">
      <c r="A537" s="88"/>
    </row>
    <row r="538" spans="1:16">
      <c r="A538" s="88"/>
    </row>
    <row r="539" spans="1:16">
      <c r="A539" s="88"/>
    </row>
    <row r="540" spans="1:16">
      <c r="A540" s="88"/>
    </row>
    <row r="541" spans="1:16">
      <c r="A541" s="88"/>
    </row>
    <row r="542" spans="1:16">
      <c r="A542" s="88"/>
    </row>
    <row r="543" spans="1:16">
      <c r="A543" s="88"/>
    </row>
    <row r="544" spans="1:16">
      <c r="A544" s="88"/>
    </row>
    <row r="545" spans="1:9" ht="27" customHeight="1">
      <c r="A545" s="687" t="str">
        <f>"- Between 2005 and 2009, the total rate of home care hours (all care groups) provided per 1,000 population aged 65+:"</f>
        <v>- Between 2005 and 2009, the total rate of home care hours (all care groups) provided per 1,000 population aged 65+:</v>
      </c>
      <c r="B545" s="688"/>
      <c r="C545" s="688"/>
      <c r="D545" s="688"/>
      <c r="E545" s="688"/>
      <c r="F545" s="688"/>
      <c r="G545" s="688"/>
      <c r="H545" s="688"/>
    </row>
    <row r="546" spans="1:9" ht="28.5" customHeight="1">
      <c r="A546" s="687" t="str">
        <f>"      - The average rate in Scotland has moved from "&amp;TEXT($L$532,"0.0")&amp;" in 2005 to " &amp; TEXT($P$532,"0.0") &amp; " per 1,000 population in 2009"</f>
        <v xml:space="preserve">      - The average rate in Scotland has moved from 762.8 in 2005 to 762.9 per 1,000 population in 2009</v>
      </c>
      <c r="B546" s="688"/>
      <c r="C546" s="688"/>
      <c r="D546" s="688"/>
      <c r="E546" s="688"/>
      <c r="F546" s="688"/>
      <c r="G546" s="688"/>
      <c r="H546" s="688"/>
    </row>
    <row r="547" spans="1:9" ht="28.5" customHeight="1">
      <c r="A547" s="687" t="str">
        <f>"      - The minumum rate in Scotland has moved from "&amp;TEXT($L$533,"0.0")&amp;" in 2005 to " &amp; TEXT($P$533,"0.0") &amp; " per 1,000 population in 2009"</f>
        <v xml:space="preserve">      - The minumum rate in Scotland has moved from 312.8 in 2005 to 270.9 per 1,000 population in 2009</v>
      </c>
      <c r="B547" s="688"/>
      <c r="C547" s="688"/>
      <c r="D547" s="688"/>
      <c r="E547" s="688"/>
      <c r="F547" s="688"/>
      <c r="G547" s="688"/>
      <c r="H547" s="688"/>
    </row>
    <row r="548" spans="1:9" ht="28.5" customHeight="1">
      <c r="A548" s="687" t="str">
        <f>"      - The maximum rate in Scotland has moved from "&amp;TEXT($L$534,"0.0")&amp;" in 2005 to " &amp; TEXT($P$534,"0.0") &amp; " per 1,000 population in 2009"</f>
        <v xml:space="preserve">      - The maximum rate in Scotland has moved from 1438.0 in 2005 to 1635.7 per 1,000 population in 2009</v>
      </c>
      <c r="B548" s="688"/>
      <c r="C548" s="688"/>
      <c r="D548" s="688"/>
      <c r="E548" s="688"/>
      <c r="F548" s="688"/>
      <c r="G548" s="688"/>
      <c r="H548" s="688"/>
    </row>
    <row r="549" spans="1:9">
      <c r="A549" s="16"/>
    </row>
    <row r="550" spans="1:9">
      <c r="A550" s="200" t="str">
        <f>"Figure " &amp; $I$550 &amp; " - Total rates of home care hours provided across Scotland"</f>
        <v>Figure 23 - Total rates of home care hours provided across Scotland</v>
      </c>
      <c r="I550" s="156">
        <f>$I$529+1</f>
        <v>23</v>
      </c>
    </row>
    <row r="551" spans="1:9">
      <c r="A551" s="16"/>
    </row>
    <row r="552" spans="1:9">
      <c r="A552" s="16"/>
    </row>
    <row r="553" spans="1:9">
      <c r="A553" s="16"/>
    </row>
    <row r="554" spans="1:9">
      <c r="A554" s="16"/>
    </row>
    <row r="555" spans="1:9">
      <c r="A555" s="16"/>
    </row>
    <row r="556" spans="1:9">
      <c r="A556" s="16"/>
    </row>
    <row r="557" spans="1:9">
      <c r="A557" s="16"/>
    </row>
    <row r="558" spans="1:9">
      <c r="A558" s="16"/>
    </row>
    <row r="559" spans="1:9">
      <c r="A559" s="16"/>
    </row>
    <row r="560" spans="1:9">
      <c r="A560" s="16"/>
    </row>
    <row r="561" spans="1:9">
      <c r="A561" s="16"/>
    </row>
    <row r="562" spans="1:9">
      <c r="A562" s="16"/>
    </row>
    <row r="563" spans="1:9">
      <c r="A563" s="16"/>
    </row>
    <row r="564" spans="1:9">
      <c r="A564" s="16"/>
    </row>
    <row r="565" spans="1:9">
      <c r="A565" s="16"/>
    </row>
    <row r="566" spans="1:9">
      <c r="A566" s="16"/>
    </row>
    <row r="567" spans="1:9">
      <c r="A567" s="16"/>
    </row>
    <row r="568" spans="1:9">
      <c r="A568" s="16"/>
    </row>
    <row r="569" spans="1:9">
      <c r="A569" s="16"/>
    </row>
    <row r="570" spans="1:9" ht="30.75" customHeight="1">
      <c r="A570" s="687" t="str">
        <f>"- The average rate in Scotland in 2009 was " &amp;TEXT($P$532,"0.0") &amp; " hours per 1,000 population (represented by the horizontal line)"</f>
        <v>- The average rate in Scotland in 2009 was 762.9 hours per 1,000 population (represented by the horizontal line)</v>
      </c>
      <c r="B570" s="688"/>
      <c r="C570" s="688"/>
      <c r="D570" s="688"/>
      <c r="E570" s="688"/>
      <c r="F570" s="688"/>
      <c r="G570" s="688"/>
      <c r="H570" s="688"/>
    </row>
    <row r="571" spans="1:9" ht="28.5" customHeight="1">
      <c r="A571" s="687" t="str">
        <f>"- In 2009 rates of total home care hours provided ranged from " &amp; TEXT('Statistics - Older People'!$B$178,"0.0") &amp; " to " &amp; TEXT('Statistics - Older People'!$B$179,"0.0") &amp; " per 1,000 population"</f>
        <v>- In 2009 rates of total home care hours provided ranged from 289.5 to 1122.7 per 1,000 population</v>
      </c>
      <c r="B571" s="688"/>
      <c r="C571" s="688"/>
      <c r="D571" s="688"/>
      <c r="E571" s="688"/>
      <c r="F571" s="688"/>
      <c r="G571" s="688"/>
      <c r="H571" s="688"/>
    </row>
    <row r="572" spans="1:9" ht="27" customHeight="1"/>
    <row r="573" spans="1:9" ht="27.75" customHeight="1">
      <c r="A573" s="705" t="str">
        <f>"Figure " &amp; $I$573 &amp; " - Scotland's rate of older people receiving less than 10 hours of home care per week"</f>
        <v>Figure 24 - Scotland's rate of older people receiving less than 10 hours of home care per week</v>
      </c>
      <c r="B573" s="706"/>
      <c r="C573" s="706"/>
      <c r="D573" s="706"/>
      <c r="E573" s="706"/>
      <c r="F573" s="706"/>
      <c r="G573" s="706"/>
      <c r="H573" s="706"/>
      <c r="I573" s="156">
        <f>$I$550+1</f>
        <v>24</v>
      </c>
    </row>
    <row r="574" spans="1:9">
      <c r="A574" s="146"/>
      <c r="B574" s="147"/>
      <c r="C574" s="147"/>
      <c r="D574" s="147"/>
      <c r="E574" s="147"/>
      <c r="F574" s="147"/>
      <c r="G574" s="147"/>
      <c r="H574" s="147"/>
    </row>
    <row r="575" spans="1:9">
      <c r="A575" s="146"/>
      <c r="B575" s="147"/>
      <c r="C575" s="147"/>
      <c r="D575" s="147"/>
      <c r="E575" s="147"/>
      <c r="F575" s="147"/>
      <c r="G575" s="147"/>
      <c r="H575" s="147"/>
    </row>
    <row r="576" spans="1:9">
      <c r="A576" s="146"/>
      <c r="B576" s="147"/>
      <c r="C576" s="147"/>
      <c r="D576" s="147"/>
      <c r="E576" s="147"/>
      <c r="F576" s="147"/>
      <c r="G576" s="147"/>
      <c r="H576" s="147"/>
    </row>
    <row r="577" spans="1:17">
      <c r="A577" s="146"/>
      <c r="B577" s="147"/>
      <c r="C577" s="147"/>
      <c r="D577" s="147"/>
      <c r="E577" s="147"/>
      <c r="F577" s="147"/>
      <c r="G577" s="147"/>
      <c r="H577" s="147"/>
    </row>
    <row r="578" spans="1:17">
      <c r="A578" s="146"/>
      <c r="B578" s="147"/>
      <c r="C578" s="147"/>
      <c r="D578" s="147"/>
      <c r="E578" s="147"/>
      <c r="F578" s="147"/>
      <c r="G578" s="147"/>
      <c r="H578" s="147"/>
      <c r="L578" t="str">
        <f>'Statistics - Older People'!X188</f>
        <v>2005/06</v>
      </c>
      <c r="M578" t="str">
        <f>'Statistics - Older People'!Y188</f>
        <v>2006/07</v>
      </c>
      <c r="N578" t="str">
        <f>'Statistics - Older People'!Z188</f>
        <v>2007/08</v>
      </c>
      <c r="O578" t="str">
        <f>'Statistics - Older People'!AA188</f>
        <v>2008/09</v>
      </c>
      <c r="P578" t="str">
        <f>'Statistics - Older People'!AB188</f>
        <v>2009/10</v>
      </c>
      <c r="Q578" t="str">
        <f>'Statistics - Older People'!AC188</f>
        <v>2010/11</v>
      </c>
    </row>
    <row r="579" spans="1:17">
      <c r="A579" s="146"/>
      <c r="B579" s="147"/>
      <c r="C579" s="147"/>
      <c r="D579" s="147"/>
      <c r="E579" s="147"/>
      <c r="F579" s="147"/>
      <c r="G579" s="147"/>
      <c r="H579" s="147"/>
      <c r="K579">
        <f>$C$5</f>
        <v>0</v>
      </c>
      <c r="L579" s="90" t="e">
        <f>VLOOKUP($C$5,'Statistics - Older People'!$A$188:$AC$221,14,0)</f>
        <v>#N/A</v>
      </c>
      <c r="M579" s="90" t="e">
        <f>VLOOKUP($C$5,'Statistics - Older People'!$A$188:$AC$221,15,0)</f>
        <v>#N/A</v>
      </c>
      <c r="N579" s="90" t="e">
        <f>VLOOKUP($C$5,'Statistics - Older People'!$A$188:$AC$221,16,0)</f>
        <v>#N/A</v>
      </c>
      <c r="O579" s="90" t="e">
        <f>VLOOKUP($C$5,'Statistics - Older People'!$A$188:$AC$221,17,0)</f>
        <v>#N/A</v>
      </c>
      <c r="P579" s="90" t="e">
        <f>VLOOKUP($C$5,'Statistics - Older People'!$A$188:$AC$221,18,0)</f>
        <v>#N/A</v>
      </c>
      <c r="Q579" s="90" t="e">
        <f>VLOOKUP($C$5,'Statistics - Older People'!$A$188:$AC$221,19,0)</f>
        <v>#N/A</v>
      </c>
    </row>
    <row r="580" spans="1:17">
      <c r="A580" s="146"/>
      <c r="B580" s="147"/>
      <c r="C580" s="147"/>
      <c r="D580" s="147"/>
      <c r="E580" s="147"/>
      <c r="F580" s="147"/>
      <c r="G580" s="147"/>
      <c r="H580" s="147"/>
      <c r="K580" t="s">
        <v>5</v>
      </c>
      <c r="L580" s="90">
        <f>'Statistics - Older People'!X$221</f>
        <v>51.744461009201849</v>
      </c>
      <c r="M580" s="90">
        <f>'Statistics - Older People'!Y$221</f>
        <v>50.20716781547744</v>
      </c>
      <c r="N580" s="90">
        <f>'Statistics - Older People'!Z$221</f>
        <v>47.3100579106518</v>
      </c>
      <c r="O580" s="90">
        <f>'Statistics - Older People'!AA$221</f>
        <v>46.109769153445889</v>
      </c>
      <c r="P580" s="90">
        <f>'Statistics - Older People'!AB$221</f>
        <v>43.665487638627901</v>
      </c>
      <c r="Q580" s="90">
        <f>'Statistics - Older People'!AC$221</f>
        <v>41.131698753371261</v>
      </c>
    </row>
    <row r="581" spans="1:17">
      <c r="A581" s="146"/>
      <c r="B581" s="147"/>
      <c r="C581" s="147"/>
      <c r="D581" s="147"/>
      <c r="E581" s="147"/>
      <c r="F581" s="147"/>
      <c r="G581" s="147"/>
      <c r="H581" s="147"/>
      <c r="K581" t="s">
        <v>160</v>
      </c>
      <c r="L581" s="90">
        <f>MIN('Statistics - Older People'!X$189:X$220)</f>
        <v>31.56990211462303</v>
      </c>
      <c r="M581" s="90">
        <f>MIN('Statistics - Older People'!Y$189:Y$220)</f>
        <v>24.454580425344837</v>
      </c>
      <c r="N581" s="90">
        <f>MIN('Statistics - Older People'!Z$189:Z$220)</f>
        <v>22.859922178988324</v>
      </c>
      <c r="O581" s="90">
        <f>MIN('Statistics - Older People'!AA$189:AA$220)</f>
        <v>19.725968971583942</v>
      </c>
      <c r="P581" s="90">
        <f>MIN('Statistics - Older People'!AB$189:AB$220)</f>
        <v>20.783037682376403</v>
      </c>
      <c r="Q581" s="90">
        <f>MIN('Statistics - Older People'!AC$189:AC$220)</f>
        <v>20.824720959074</v>
      </c>
    </row>
    <row r="582" spans="1:17">
      <c r="A582" s="146"/>
      <c r="B582" s="147"/>
      <c r="C582" s="147"/>
      <c r="D582" s="147"/>
      <c r="E582" s="147"/>
      <c r="F582" s="147"/>
      <c r="G582" s="147"/>
      <c r="H582" s="147"/>
      <c r="K582" t="s">
        <v>161</v>
      </c>
      <c r="L582" s="90">
        <f>MAX('Statistics - Older People'!X$189:X$220)</f>
        <v>118.15995189416716</v>
      </c>
      <c r="M582" s="90">
        <f>MAX('Statistics - Older People'!Y$189:Y$220)</f>
        <v>101.14672155248456</v>
      </c>
      <c r="N582" s="90">
        <f>MAX('Statistics - Older People'!Z$189:Z$220)</f>
        <v>85.714285714285708</v>
      </c>
      <c r="O582" s="90">
        <f>MAX('Statistics - Older People'!AA$189:AA$220)</f>
        <v>86.740331491712709</v>
      </c>
      <c r="P582" s="90">
        <f>MAX('Statistics - Older People'!AB$189:AB$220)</f>
        <v>78.763440860215056</v>
      </c>
      <c r="Q582" s="90">
        <f>MAX('Statistics - Older People'!AC$189:AC$220)</f>
        <v>83.289404322614658</v>
      </c>
    </row>
    <row r="583" spans="1:17">
      <c r="A583" s="146"/>
      <c r="B583" s="147"/>
      <c r="C583" s="147"/>
      <c r="D583" s="147"/>
      <c r="E583" s="147"/>
      <c r="F583" s="147"/>
      <c r="G583" s="147"/>
      <c r="H583" s="147"/>
    </row>
    <row r="584" spans="1:17">
      <c r="A584" s="146"/>
      <c r="B584" s="147"/>
      <c r="C584" s="147"/>
      <c r="D584" s="147"/>
      <c r="E584" s="147"/>
      <c r="F584" s="147"/>
      <c r="G584" s="147"/>
      <c r="H584" s="147"/>
    </row>
    <row r="585" spans="1:17">
      <c r="A585" s="146"/>
      <c r="B585" s="147"/>
      <c r="C585" s="147"/>
      <c r="D585" s="147"/>
      <c r="E585" s="147"/>
      <c r="F585" s="147"/>
      <c r="G585" s="147"/>
      <c r="H585" s="147"/>
    </row>
    <row r="586" spans="1:17">
      <c r="A586" s="146"/>
      <c r="B586" s="147"/>
      <c r="C586" s="147"/>
      <c r="D586" s="147"/>
      <c r="E586" s="147"/>
      <c r="F586" s="147"/>
      <c r="G586" s="147"/>
      <c r="H586" s="147"/>
    </row>
    <row r="587" spans="1:17">
      <c r="A587" s="146"/>
      <c r="B587" s="147"/>
      <c r="C587" s="147"/>
      <c r="D587" s="147"/>
      <c r="E587" s="147"/>
      <c r="F587" s="147"/>
      <c r="G587" s="147"/>
      <c r="H587" s="147"/>
    </row>
    <row r="588" spans="1:17">
      <c r="A588" s="146"/>
      <c r="B588" s="147"/>
      <c r="C588" s="147"/>
      <c r="D588" s="147"/>
      <c r="E588" s="147"/>
      <c r="F588" s="147"/>
      <c r="G588" s="147"/>
      <c r="H588" s="147"/>
    </row>
    <row r="589" spans="1:17">
      <c r="A589" s="146"/>
      <c r="B589" s="147"/>
      <c r="C589" s="147"/>
      <c r="D589" s="147"/>
      <c r="E589" s="147"/>
      <c r="F589" s="147"/>
      <c r="G589" s="147"/>
      <c r="H589" s="147"/>
    </row>
    <row r="590" spans="1:17">
      <c r="A590" s="146"/>
      <c r="B590" s="147"/>
      <c r="C590" s="147"/>
      <c r="D590" s="147"/>
      <c r="E590" s="147"/>
      <c r="F590" s="147"/>
      <c r="G590" s="147"/>
      <c r="H590" s="147"/>
    </row>
    <row r="591" spans="1:17">
      <c r="A591" s="146"/>
      <c r="B591" s="147"/>
      <c r="C591" s="147"/>
      <c r="D591" s="147"/>
      <c r="E591" s="147"/>
      <c r="F591" s="147"/>
      <c r="G591" s="147"/>
      <c r="H591" s="147"/>
    </row>
    <row r="592" spans="1:17" ht="29.25" customHeight="1">
      <c r="A592" s="687" t="str">
        <f>"- Between 2003/04 and 2008/09, the rate of older people receiving less than 10 hours per week per 1,000 population aged 65+:"</f>
        <v>- Between 2003/04 and 2008/09, the rate of older people receiving less than 10 hours per week per 1,000 population aged 65+:</v>
      </c>
      <c r="B592" s="688"/>
      <c r="C592" s="688"/>
      <c r="D592" s="688"/>
      <c r="E592" s="688"/>
      <c r="F592" s="688"/>
      <c r="G592" s="688"/>
      <c r="H592" s="688"/>
    </row>
    <row r="593" spans="1:9" ht="24" customHeight="1">
      <c r="A593" s="687" t="str">
        <f>"      - The average rate in Scotland has moved from "&amp;TEXT($L$580,"0.0")&amp;" in 2003/04 to " &amp; TEXT($Q$580,"0.0") &amp; " per 1,000 population in 2008/09"</f>
        <v xml:space="preserve">      - The average rate in Scotland has moved from 51.7 in 2003/04 to 41.1 per 1,000 population in 2008/09</v>
      </c>
      <c r="B593" s="688"/>
      <c r="C593" s="688"/>
      <c r="D593" s="688"/>
      <c r="E593" s="688"/>
      <c r="F593" s="688"/>
      <c r="G593" s="688"/>
      <c r="H593" s="688"/>
    </row>
    <row r="594" spans="1:9" ht="24" customHeight="1">
      <c r="A594" s="687" t="str">
        <f>"      - The minimum rate in Scotland has moved from "&amp;TEXT($L$581,"0.0")&amp;" in 2003/04 to " &amp; TEXT($Q$581,"0.0") &amp; " per 1,000 population in 2008/09"</f>
        <v xml:space="preserve">      - The minimum rate in Scotland has moved from 31.6 in 2003/04 to 20.8 per 1,000 population in 2008/09</v>
      </c>
      <c r="B594" s="688"/>
      <c r="C594" s="688"/>
      <c r="D594" s="688"/>
      <c r="E594" s="688"/>
      <c r="F594" s="688"/>
      <c r="G594" s="688"/>
      <c r="H594" s="688"/>
    </row>
    <row r="595" spans="1:9" ht="25.5" customHeight="1">
      <c r="A595" s="687" t="str">
        <f>"      - The maximum rate in Scotland has moved from "&amp;TEXT($L$582,"0.0")&amp;" in 2003/04 to " &amp; TEXT($Q$582,"0.0") &amp; " per 1,000 population in 2008/09"</f>
        <v xml:space="preserve">      - The maximum rate in Scotland has moved from 118.2 in 2003/04 to 83.3 per 1,000 population in 2008/09</v>
      </c>
      <c r="B595" s="688"/>
      <c r="C595" s="688"/>
      <c r="D595" s="688"/>
      <c r="E595" s="688"/>
      <c r="F595" s="688"/>
      <c r="G595" s="688"/>
      <c r="H595" s="688"/>
    </row>
    <row r="596" spans="1:9">
      <c r="A596" s="146"/>
      <c r="B596" s="147"/>
      <c r="C596" s="147"/>
      <c r="D596" s="147"/>
      <c r="E596" s="147"/>
      <c r="F596" s="147"/>
      <c r="G596" s="147"/>
      <c r="H596" s="147"/>
    </row>
    <row r="597" spans="1:9" ht="28.5" customHeight="1">
      <c r="A597" s="705" t="str">
        <f>"Figure " &amp; $I$597 &amp; " - Rates of older people receiving less than 10 hours of home care per week across Scotland"</f>
        <v>Figure 25 - Rates of older people receiving less than 10 hours of home care per week across Scotland</v>
      </c>
      <c r="B597" s="706"/>
      <c r="C597" s="706"/>
      <c r="D597" s="706"/>
      <c r="E597" s="706"/>
      <c r="F597" s="706"/>
      <c r="G597" s="706"/>
      <c r="H597" s="706"/>
      <c r="I597" s="156">
        <f>$I$573+1</f>
        <v>25</v>
      </c>
    </row>
    <row r="598" spans="1:9">
      <c r="A598" s="146"/>
      <c r="B598" s="147"/>
      <c r="C598" s="147"/>
      <c r="D598" s="147"/>
      <c r="E598" s="147"/>
      <c r="F598" s="147"/>
      <c r="G598" s="147"/>
      <c r="H598" s="147"/>
    </row>
    <row r="599" spans="1:9">
      <c r="A599" s="146"/>
      <c r="B599" s="147"/>
      <c r="C599" s="147"/>
      <c r="D599" s="147"/>
      <c r="E599" s="147"/>
      <c r="F599" s="147"/>
      <c r="G599" s="147"/>
      <c r="H599" s="147"/>
    </row>
    <row r="600" spans="1:9">
      <c r="A600" s="146"/>
      <c r="B600" s="147"/>
      <c r="C600" s="147"/>
      <c r="D600" s="147"/>
      <c r="E600" s="147"/>
      <c r="F600" s="147"/>
      <c r="G600" s="147"/>
      <c r="H600" s="147"/>
    </row>
    <row r="601" spans="1:9">
      <c r="A601" s="146"/>
      <c r="B601" s="147"/>
      <c r="C601" s="147"/>
      <c r="D601" s="147"/>
      <c r="E601" s="147"/>
      <c r="F601" s="147"/>
      <c r="G601" s="147"/>
      <c r="H601" s="147"/>
    </row>
    <row r="602" spans="1:9">
      <c r="A602" s="146"/>
      <c r="B602" s="147"/>
      <c r="C602" s="147"/>
      <c r="D602" s="147"/>
      <c r="E602" s="147"/>
      <c r="F602" s="147"/>
      <c r="G602" s="147"/>
      <c r="H602" s="147"/>
    </row>
    <row r="603" spans="1:9">
      <c r="A603" s="146"/>
      <c r="B603" s="147"/>
      <c r="C603" s="147"/>
      <c r="D603" s="147"/>
      <c r="E603" s="147"/>
      <c r="F603" s="147"/>
      <c r="G603" s="147"/>
      <c r="H603" s="147"/>
    </row>
    <row r="604" spans="1:9">
      <c r="A604" s="146"/>
      <c r="B604" s="147"/>
      <c r="C604" s="147"/>
      <c r="D604" s="147"/>
      <c r="E604" s="147"/>
      <c r="F604" s="147"/>
      <c r="G604" s="147"/>
      <c r="H604" s="147"/>
    </row>
    <row r="605" spans="1:9">
      <c r="A605" s="146"/>
      <c r="B605" s="147"/>
      <c r="C605" s="147"/>
      <c r="D605" s="147"/>
      <c r="E605" s="147"/>
      <c r="F605" s="147"/>
      <c r="G605" s="147"/>
      <c r="H605" s="147"/>
    </row>
    <row r="606" spans="1:9">
      <c r="A606" s="146"/>
      <c r="B606" s="147"/>
      <c r="C606" s="147"/>
      <c r="D606" s="147"/>
      <c r="E606" s="147"/>
      <c r="F606" s="147"/>
      <c r="G606" s="147"/>
      <c r="H606" s="147"/>
    </row>
    <row r="607" spans="1:9">
      <c r="A607" s="146"/>
      <c r="B607" s="147"/>
      <c r="C607" s="147"/>
      <c r="D607" s="147"/>
      <c r="E607" s="147"/>
      <c r="F607" s="147"/>
      <c r="G607" s="147"/>
      <c r="H607" s="147"/>
    </row>
    <row r="608" spans="1:9">
      <c r="A608" s="146"/>
      <c r="B608" s="147"/>
      <c r="C608" s="147"/>
      <c r="D608" s="147"/>
      <c r="E608" s="147"/>
      <c r="F608" s="147"/>
      <c r="G608" s="147"/>
      <c r="H608" s="147"/>
    </row>
    <row r="609" spans="1:17">
      <c r="A609" s="146"/>
      <c r="B609" s="147"/>
      <c r="C609" s="147"/>
      <c r="D609" s="147"/>
      <c r="E609" s="147"/>
      <c r="F609" s="147"/>
      <c r="G609" s="147"/>
      <c r="H609" s="147"/>
    </row>
    <row r="610" spans="1:17">
      <c r="A610" s="146"/>
      <c r="B610" s="147"/>
      <c r="C610" s="147"/>
      <c r="D610" s="147"/>
      <c r="E610" s="147"/>
      <c r="F610" s="147"/>
      <c r="G610" s="147"/>
      <c r="H610" s="147"/>
    </row>
    <row r="611" spans="1:17">
      <c r="A611" s="146"/>
      <c r="B611" s="147"/>
      <c r="C611" s="147"/>
      <c r="D611" s="147"/>
      <c r="E611" s="147"/>
      <c r="F611" s="147"/>
      <c r="G611" s="147"/>
      <c r="H611" s="147"/>
    </row>
    <row r="612" spans="1:17">
      <c r="A612" s="146"/>
      <c r="B612" s="147"/>
      <c r="C612" s="147"/>
      <c r="D612" s="147"/>
      <c r="E612" s="147"/>
      <c r="F612" s="147"/>
      <c r="G612" s="147"/>
      <c r="H612" s="147"/>
    </row>
    <row r="613" spans="1:17">
      <c r="A613" s="146"/>
      <c r="B613" s="147"/>
      <c r="C613" s="147"/>
      <c r="D613" s="147"/>
      <c r="E613" s="147"/>
      <c r="F613" s="147"/>
      <c r="G613" s="147"/>
      <c r="H613" s="147"/>
    </row>
    <row r="614" spans="1:17">
      <c r="A614" s="146"/>
      <c r="B614" s="147"/>
      <c r="C614" s="147"/>
      <c r="D614" s="147"/>
      <c r="E614" s="147"/>
      <c r="F614" s="147"/>
      <c r="G614" s="147"/>
      <c r="H614" s="147"/>
    </row>
    <row r="615" spans="1:17">
      <c r="A615" s="146"/>
      <c r="B615" s="147"/>
      <c r="C615" s="147"/>
      <c r="D615" s="147"/>
      <c r="E615" s="147"/>
      <c r="F615" s="147"/>
      <c r="G615" s="147"/>
      <c r="H615" s="147"/>
    </row>
    <row r="616" spans="1:17">
      <c r="A616" s="146"/>
      <c r="B616" s="147"/>
      <c r="C616" s="147"/>
      <c r="D616" s="147"/>
      <c r="E616" s="147"/>
      <c r="F616" s="147"/>
      <c r="G616" s="147"/>
      <c r="H616" s="147"/>
    </row>
    <row r="617" spans="1:17" ht="26.25" customHeight="1">
      <c r="A617" s="692"/>
      <c r="B617" s="692"/>
      <c r="C617" s="692"/>
      <c r="D617" s="692"/>
      <c r="E617" s="692"/>
      <c r="F617" s="692"/>
      <c r="G617" s="692"/>
      <c r="H617" s="692"/>
    </row>
    <row r="618" spans="1:17">
      <c r="A618" s="692" t="str">
        <f>"- The national rate was " &amp; TEXT('Statistics - Older People'!$D$261,"0.0") &amp; " per 1,000 population aged 65+ (represented by the horizontal line)"</f>
        <v>- The national rate was 33.9 per 1,000 population aged 65+ (represented by the horizontal line)</v>
      </c>
      <c r="B618" s="692"/>
      <c r="C618" s="692"/>
      <c r="D618" s="692"/>
      <c r="E618" s="692"/>
      <c r="F618" s="692"/>
      <c r="G618" s="692"/>
      <c r="H618" s="692"/>
    </row>
    <row r="619" spans="1:17">
      <c r="A619" s="692" t="str">
        <f>"- Rates in 2008/09 ranged from " &amp; TEXT('Statistics - Older People'!$B$263,"0.0") &amp; " to " &amp; TEXT('Statistics - Older People'!$B$264,"0.0") &amp; " per 1,000 population aged 65+"</f>
        <v>- Rates in 2008/09 ranged from 19.0 to 55.0 per 1,000 population aged 65+</v>
      </c>
      <c r="B619" s="692"/>
      <c r="C619" s="692"/>
      <c r="D619" s="692"/>
      <c r="E619" s="692"/>
      <c r="F619" s="692"/>
      <c r="G619" s="692"/>
      <c r="H619" s="692"/>
    </row>
    <row r="620" spans="1:17" ht="29.25" customHeight="1">
      <c r="A620" s="693" t="str">
        <f>"Figure " &amp; $I$620&amp; " - Scotland's rate of older people receiving intensive home care (10+ hours per week)"</f>
        <v>Figure 26 - Scotland's rate of older people receiving intensive home care (10+ hours per week)</v>
      </c>
      <c r="B620" s="694"/>
      <c r="C620" s="694"/>
      <c r="D620" s="694"/>
      <c r="E620" s="694"/>
      <c r="F620" s="694"/>
      <c r="G620" s="694"/>
      <c r="H620" s="694"/>
      <c r="I620" s="156">
        <f>$I$597+1</f>
        <v>26</v>
      </c>
    </row>
    <row r="621" spans="1:17">
      <c r="A621" s="16"/>
    </row>
    <row r="622" spans="1:17">
      <c r="A622" s="16"/>
    </row>
    <row r="623" spans="1:17">
      <c r="A623" s="16"/>
      <c r="L623" t="s">
        <v>2</v>
      </c>
      <c r="M623" t="s">
        <v>3</v>
      </c>
      <c r="N623" t="s">
        <v>4</v>
      </c>
      <c r="O623" t="s">
        <v>0</v>
      </c>
      <c r="P623" t="s">
        <v>1</v>
      </c>
      <c r="Q623" t="s">
        <v>28</v>
      </c>
    </row>
    <row r="624" spans="1:17">
      <c r="A624" s="16"/>
      <c r="K624">
        <f>$C$5</f>
        <v>0</v>
      </c>
      <c r="L624" s="90" t="e">
        <f>VLOOKUP($C$5,'Statistics - Older People'!$A$271:$Q$303,8,0)</f>
        <v>#N/A</v>
      </c>
      <c r="M624" s="90" t="e">
        <f>VLOOKUP($C$5,'Statistics - Older People'!$A$271:$Q$303,9,0)</f>
        <v>#N/A</v>
      </c>
      <c r="N624" s="90" t="e">
        <f>VLOOKUP($C$5,'Statistics - Older People'!$A$271:$Q$303,10,0)</f>
        <v>#N/A</v>
      </c>
      <c r="O624" s="90" t="e">
        <f>VLOOKUP($C$5,'Statistics - Older People'!$A$271:$Q$303,11,0)</f>
        <v>#N/A</v>
      </c>
      <c r="P624" s="90" t="e">
        <f>VLOOKUP($C$5,'Statistics - Older People'!$A$271:$Q$303,12,0)</f>
        <v>#N/A</v>
      </c>
      <c r="Q624" s="90" t="e">
        <f>VLOOKUP($C$5,'Statistics - Older People'!$A$271:$Q$303,13,0)</f>
        <v>#N/A</v>
      </c>
    </row>
    <row r="625" spans="1:17">
      <c r="A625" s="16"/>
      <c r="K625" t="s">
        <v>5</v>
      </c>
      <c r="L625" s="90">
        <f>'Statistics - Older People'!L303</f>
        <v>16.804937658717279</v>
      </c>
      <c r="M625" s="90">
        <f>'Statistics - Older People'!M303</f>
        <v>17.299875947980933</v>
      </c>
      <c r="N625" s="90">
        <f>'Statistics - Older People'!N303</f>
        <v>17.899860252199829</v>
      </c>
      <c r="O625" s="90">
        <f>'Statistics - Older People'!O303</f>
        <v>17.527679525441215</v>
      </c>
      <c r="P625" s="90">
        <f>'Statistics - Older People'!P303</f>
        <v>17.893283850222627</v>
      </c>
      <c r="Q625" s="90">
        <f>'Statistics - Older People'!Q303</f>
        <v>17.354556854135151</v>
      </c>
    </row>
    <row r="626" spans="1:17">
      <c r="A626" s="16"/>
      <c r="K626" t="s">
        <v>160</v>
      </c>
      <c r="L626" s="90">
        <f>MIN('Statistics - Older People'!L$271:L$302)</f>
        <v>4.2897768352050898</v>
      </c>
      <c r="M626" s="90">
        <f>MIN('Statistics - Older People'!M$271:M$302)</f>
        <v>5.1727410782080483</v>
      </c>
      <c r="N626" s="90">
        <f>MIN('Statistics - Older People'!N$271:N$302)</f>
        <v>4.1318477251624888</v>
      </c>
      <c r="O626" s="90">
        <f>MIN('Statistics - Older People'!O$271:O$302)</f>
        <v>4.6013667425968112</v>
      </c>
      <c r="P626" s="90">
        <f>MIN('Statistics - Older People'!P$271:P$302)</f>
        <v>4.7994976226787474</v>
      </c>
      <c r="Q626" s="90">
        <f>MIN('Statistics - Older People'!Q$271:Q$302)</f>
        <v>4.6916024620152372</v>
      </c>
    </row>
    <row r="627" spans="1:17">
      <c r="A627" s="16"/>
      <c r="K627" t="s">
        <v>161</v>
      </c>
      <c r="L627" s="90">
        <f>MAX('Statistics - Older People'!L$271:L$302)</f>
        <v>31.561874770625906</v>
      </c>
      <c r="M627" s="90">
        <f>MAX('Statistics - Older People'!M$271:M$302)</f>
        <v>32.767194369039323</v>
      </c>
      <c r="N627" s="90">
        <f>MAX('Statistics - Older People'!N$271:N$302)</f>
        <v>33.264184590748627</v>
      </c>
      <c r="O627" s="90">
        <f>MAX('Statistics - Older People'!O$271:O$302)</f>
        <v>32.743058962032762</v>
      </c>
      <c r="P627" s="90">
        <f>MAX('Statistics - Older People'!P$271:P$302)</f>
        <v>34.329668698910503</v>
      </c>
      <c r="Q627" s="90">
        <f>MAX('Statistics - Older People'!Q$271:Q$302)</f>
        <v>35.03688092729189</v>
      </c>
    </row>
    <row r="628" spans="1:17">
      <c r="A628" s="16"/>
      <c r="L628" s="90"/>
    </row>
    <row r="629" spans="1:17">
      <c r="A629" s="16"/>
    </row>
    <row r="630" spans="1:17">
      <c r="A630" s="16"/>
    </row>
    <row r="631" spans="1:17">
      <c r="A631" s="16"/>
    </row>
    <row r="632" spans="1:17">
      <c r="A632" s="16"/>
    </row>
    <row r="633" spans="1:17">
      <c r="A633" s="16"/>
    </row>
    <row r="634" spans="1:17">
      <c r="A634" s="16"/>
    </row>
    <row r="635" spans="1:17">
      <c r="A635" s="16"/>
    </row>
    <row r="636" spans="1:17">
      <c r="A636" s="16"/>
    </row>
    <row r="637" spans="1:17">
      <c r="A637" s="16"/>
    </row>
    <row r="638" spans="1:17" ht="30.75" customHeight="1">
      <c r="A638" s="687" t="str">
        <f>"- Between 2003/04 and 2008/09, the rate of older people receiving intensive home care per 1,000 population aged 65+:"</f>
        <v>- Between 2003/04 and 2008/09, the rate of older people receiving intensive home care per 1,000 population aged 65+:</v>
      </c>
      <c r="B638" s="688"/>
      <c r="C638" s="688"/>
      <c r="D638" s="688"/>
      <c r="E638" s="688"/>
      <c r="F638" s="688"/>
      <c r="G638" s="688"/>
      <c r="H638" s="688"/>
    </row>
    <row r="639" spans="1:17" ht="30.75" customHeight="1">
      <c r="A639" s="687" t="str">
        <f>"      - The average rate in Scotland has moved from "&amp;TEXT($L$625,"0.0")&amp;" in 2003/04 to " &amp; TEXT($Q$625,"0.0") &amp; " per 1,000 population in 2008/09"</f>
        <v xml:space="preserve">      - The average rate in Scotland has moved from 16.8 in 2003/04 to 17.4 per 1,000 population in 2008/09</v>
      </c>
      <c r="B639" s="688"/>
      <c r="C639" s="688"/>
      <c r="D639" s="688"/>
      <c r="E639" s="688"/>
      <c r="F639" s="688"/>
      <c r="G639" s="688"/>
      <c r="H639" s="688"/>
    </row>
    <row r="640" spans="1:17" ht="30.75" customHeight="1">
      <c r="A640" s="687" t="str">
        <f>"      - The minimum rate in Scotland has moved from "&amp;TEXT($L$626,"0.0")&amp;" in 2003/04 to " &amp; TEXT($Q$626,"0.0") &amp; " per 1,000 population in 2008/09"</f>
        <v xml:space="preserve">      - The minimum rate in Scotland has moved from 4.3 in 2003/04 to 4.7 per 1,000 population in 2008/09</v>
      </c>
      <c r="B640" s="688"/>
      <c r="C640" s="688"/>
      <c r="D640" s="688"/>
      <c r="E640" s="688"/>
      <c r="F640" s="688"/>
      <c r="G640" s="688"/>
      <c r="H640" s="688"/>
    </row>
    <row r="641" spans="1:9" ht="30.75" customHeight="1">
      <c r="A641" s="687" t="str">
        <f>"      - The maximum rate in Scotland has moved from "&amp;TEXT($L$627,"0.0")&amp;" in 2003/04 to " &amp; TEXT($Q$627,"0.0") &amp; " per 1,000 population in 2008/09"</f>
        <v xml:space="preserve">      - The maximum rate in Scotland has moved from 31.6 in 2003/04 to 35.0 per 1,000 population in 2008/09</v>
      </c>
      <c r="B641" s="688"/>
      <c r="C641" s="688"/>
      <c r="D641" s="688"/>
      <c r="E641" s="688"/>
      <c r="F641" s="688"/>
      <c r="G641" s="688"/>
      <c r="H641" s="688"/>
    </row>
    <row r="642" spans="1:9">
      <c r="A642" s="16"/>
    </row>
    <row r="643" spans="1:9">
      <c r="A643" s="88" t="str">
        <f>"Figure " &amp; $I$643 &amp; "- Intensive home care provided across Scotland"</f>
        <v>Figure 27- Intensive home care provided across Scotland</v>
      </c>
      <c r="I643" s="156">
        <f>$I$620+1</f>
        <v>27</v>
      </c>
    </row>
    <row r="663" spans="1:14" ht="27.75" customHeight="1">
      <c r="A663" s="692" t="str">
        <f>"- Over 2008/09, in " &amp; $C$5 &amp; ", there was a rate of " &amp; TEXT('Statistics - Older People'!$B$344,"0.0") &amp; " people per 1,000 population aged 65+ receiving intensive home care (i.e. 10+ hours per week)"</f>
        <v>- Over 2008/09, in , there was a rate of 13.2 people per 1,000 population aged 65+ receiving intensive home care (i.e. 10+ hours per week)</v>
      </c>
      <c r="B663" s="692"/>
      <c r="C663" s="692"/>
      <c r="D663" s="692"/>
      <c r="E663" s="692"/>
      <c r="F663" s="692"/>
      <c r="G663" s="692"/>
      <c r="H663" s="692"/>
    </row>
    <row r="664" spans="1:14">
      <c r="A664" s="692" t="str">
        <f>"- The national rate was " &amp; TEXT('Statistics - Older People'!$D$342,"0.0") &amp; " per 1,000 population aged 65+ (represented by the horizontal line)"</f>
        <v>- The national rate was 17.4 per 1,000 population aged 65+ (represented by the horizontal line)</v>
      </c>
      <c r="B664" s="692"/>
      <c r="C664" s="692"/>
      <c r="D664" s="692"/>
      <c r="E664" s="692"/>
      <c r="F664" s="692"/>
      <c r="G664" s="692"/>
      <c r="H664" s="692"/>
    </row>
    <row r="665" spans="1:14">
      <c r="A665" s="692" t="str">
        <f>"- Rates in 2008/09 ranged from " &amp; TEXT('Statistics - Older People'!$B$342,"0.0") &amp; " to " &amp; TEXT('Statistics - Older People'!$B$311,"0.0") &amp; " per 1,000 population aged 65+"</f>
        <v>- Rates in 2008/09 ranged from 8.1 to 31.3 per 1,000 population aged 65+</v>
      </c>
      <c r="B665" s="692"/>
      <c r="C665" s="692"/>
      <c r="D665" s="692"/>
      <c r="E665" s="692"/>
      <c r="F665" s="692"/>
      <c r="G665" s="692"/>
      <c r="H665" s="692"/>
    </row>
    <row r="666" spans="1:14" ht="28.5" customHeight="1">
      <c r="A666" s="693" t="str">
        <f>"Figure " &amp;$I$666 &amp;" - Balance of care (supported in care homes / intensive home care) across Scotland"</f>
        <v>Figure 28 - Balance of care (supported in care homes / intensive home care) across Scotland</v>
      </c>
      <c r="B666" s="694"/>
      <c r="C666" s="694"/>
      <c r="D666" s="694"/>
      <c r="E666" s="694"/>
      <c r="F666" s="694"/>
      <c r="G666" s="694"/>
      <c r="H666" s="694"/>
      <c r="I666" s="156">
        <f>$I$643+1</f>
        <v>28</v>
      </c>
    </row>
    <row r="667" spans="1:14">
      <c r="A667" s="88"/>
    </row>
    <row r="668" spans="1:14">
      <c r="A668" s="703" t="str">
        <f>LEFT($A$666,9)&amp;" shows the wide variation across authorities in Scotland in the balance of care."</f>
        <v>Figure 28 shows the wide variation across authorities in Scotland in the balance of care.</v>
      </c>
      <c r="B668" s="694"/>
      <c r="C668" s="694"/>
      <c r="D668" s="694"/>
      <c r="E668" s="694"/>
      <c r="F668" s="694"/>
      <c r="G668" s="694"/>
      <c r="H668" s="694"/>
    </row>
    <row r="672" spans="1:14">
      <c r="I672" s="196"/>
      <c r="J672" s="13"/>
      <c r="K672" s="13"/>
      <c r="L672" s="13"/>
      <c r="M672" s="13"/>
      <c r="N672" s="13"/>
    </row>
    <row r="673" spans="9:14">
      <c r="I673" s="196"/>
      <c r="J673" s="13"/>
      <c r="K673" s="13"/>
      <c r="L673" s="13"/>
      <c r="M673" s="13"/>
      <c r="N673" s="13"/>
    </row>
    <row r="674" spans="9:14">
      <c r="I674" s="196"/>
      <c r="J674" s="13"/>
      <c r="K674" s="13"/>
      <c r="L674" s="13"/>
      <c r="M674" s="13"/>
      <c r="N674" s="13"/>
    </row>
    <row r="675" spans="9:14">
      <c r="I675" s="196"/>
      <c r="J675" s="13"/>
      <c r="K675" s="13"/>
      <c r="L675" s="13"/>
      <c r="M675" s="13"/>
      <c r="N675" s="13"/>
    </row>
    <row r="676" spans="9:14">
      <c r="I676" s="196"/>
      <c r="J676" s="13"/>
      <c r="K676" s="13"/>
      <c r="L676" s="13"/>
      <c r="M676" s="13"/>
      <c r="N676" s="13"/>
    </row>
    <row r="677" spans="9:14">
      <c r="I677" s="196"/>
      <c r="J677" s="13"/>
      <c r="K677" s="13"/>
      <c r="L677" s="13"/>
      <c r="M677" s="13"/>
      <c r="N677" s="13"/>
    </row>
    <row r="678" spans="9:14">
      <c r="I678" s="196"/>
      <c r="J678" s="13"/>
      <c r="K678" s="13"/>
      <c r="L678" s="13"/>
      <c r="M678" s="13"/>
      <c r="N678" s="13"/>
    </row>
    <row r="679" spans="9:14">
      <c r="I679" s="196"/>
      <c r="J679" s="13"/>
      <c r="K679" s="13"/>
      <c r="L679" s="13"/>
      <c r="M679" s="13"/>
      <c r="N679" s="13"/>
    </row>
    <row r="680" spans="9:14">
      <c r="I680" s="196"/>
      <c r="J680" s="13"/>
      <c r="K680" s="13"/>
      <c r="L680" s="13"/>
      <c r="M680" s="13"/>
      <c r="N680" s="13"/>
    </row>
    <row r="681" spans="9:14">
      <c r="I681" s="196"/>
      <c r="J681" s="13"/>
      <c r="K681" s="13"/>
      <c r="L681" s="13"/>
      <c r="M681" s="13"/>
      <c r="N681" s="13"/>
    </row>
    <row r="682" spans="9:14">
      <c r="I682" s="196"/>
      <c r="J682" s="13"/>
      <c r="K682" s="13"/>
      <c r="L682" s="13"/>
      <c r="M682" s="13"/>
      <c r="N682" s="13"/>
    </row>
    <row r="690" spans="1:14" ht="15" customHeight="1">
      <c r="A690" s="692" t="str">
        <f>" -During 2008/09, the balance of care in " &amp; $C$5 &amp; " can be broken down as follows:"</f>
        <v xml:space="preserve"> -During 2008/09, the balance of care in  can be broken down as follows:</v>
      </c>
      <c r="B690" s="692"/>
      <c r="C690" s="692"/>
      <c r="D690" s="692"/>
      <c r="E690" s="692"/>
      <c r="F690" s="692"/>
      <c r="G690" s="692"/>
      <c r="H690" s="692"/>
      <c r="K690" s="91"/>
      <c r="L690" s="116" t="s">
        <v>142</v>
      </c>
      <c r="M690" s="116" t="s">
        <v>143</v>
      </c>
      <c r="N690" s="91" t="s">
        <v>110</v>
      </c>
    </row>
    <row r="691" spans="1:14" ht="25.5" customHeight="1">
      <c r="A691" s="692" t="str">
        <f>"     -in Scotland, rates of older people receiving intensive home care ranged from " &amp; TEXT(MIN('Statistics - Older People'!$C$394:$C$426),"0.0") &amp; " to " &amp; TEXT(MAX('Statistics - Older People'!$C$394:$C$426),"0.0") &amp; " per 1,000"</f>
        <v xml:space="preserve">     -in Scotland, rates of older people receiving intensive home care ranged from 8.1 to 31.3 per 1,000</v>
      </c>
      <c r="B691" s="692"/>
      <c r="C691" s="692"/>
      <c r="D691" s="692"/>
      <c r="E691" s="692"/>
      <c r="F691" s="692"/>
      <c r="G691" s="692"/>
      <c r="H691" s="692"/>
      <c r="K691" s="116">
        <f>$C$5</f>
        <v>0</v>
      </c>
      <c r="L691" s="93" t="e">
        <f>VLOOKUP($C$5,'Statistics - Older People'!$A$393:$D$432,3,0)</f>
        <v>#N/A</v>
      </c>
      <c r="M691" s="93" t="e">
        <f>VLOOKUP($C$5,'Statistics - Older People'!$A$393:$D$432,2,0)</f>
        <v>#N/A</v>
      </c>
      <c r="N691" s="93" t="e">
        <f>VLOOKUP($C$5,'Statistics - Older People'!$A$393:$D$432,4,0)</f>
        <v>#N/A</v>
      </c>
    </row>
    <row r="692" spans="1:14" ht="27.75" customHeight="1">
      <c r="A692" s="692" t="str">
        <f>"     -in Scotland, rates of older people supported in care homes ranged from " &amp; TEXT(MIN('Statistics - Older People'!$B$394:$B$426),"0.0") &amp; " to " &amp; TEXT(MAX('Statistics - Older People'!$B$394:$B$426),"0.0") &amp; " per 1,000"</f>
        <v xml:space="preserve">     -in Scotland, rates of older people supported in care homes ranged from 21.2 to 43.3 per 1,000</v>
      </c>
      <c r="B692" s="692"/>
      <c r="C692" s="692"/>
      <c r="D692" s="692"/>
      <c r="E692" s="692"/>
      <c r="F692" s="692"/>
      <c r="G692" s="692"/>
      <c r="H692" s="692"/>
      <c r="K692" s="116" t="s">
        <v>144</v>
      </c>
      <c r="L692" s="226" t="e">
        <f>L691/$N$691</f>
        <v>#N/A</v>
      </c>
      <c r="M692" s="226" t="e">
        <f>M691/$N$691</f>
        <v>#N/A</v>
      </c>
      <c r="N692" s="226" t="e">
        <f>N691/$N$691</f>
        <v>#N/A</v>
      </c>
    </row>
    <row r="693" spans="1:14" ht="28.5" customHeight="1">
      <c r="A693" s="692"/>
      <c r="B693" s="692"/>
      <c r="C693" s="692"/>
      <c r="D693" s="692"/>
      <c r="E693" s="692"/>
      <c r="F693" s="692"/>
      <c r="G693" s="692"/>
      <c r="H693" s="692"/>
      <c r="K693" t="s">
        <v>5</v>
      </c>
      <c r="L693" s="233">
        <f>'Statistics - Older People'!$C$431/'Statistics - Older People'!$D$431</f>
        <v>0.35708670618480043</v>
      </c>
      <c r="M693" s="233">
        <f>'Statistics - Older People'!$B$431/'Statistics - Older People'!$D$431</f>
        <v>0.64291329381519968</v>
      </c>
      <c r="N693" s="233">
        <f>SUM(L693:M693)</f>
        <v>1</v>
      </c>
    </row>
    <row r="694" spans="1:14" ht="25.5" customHeight="1"/>
    <row r="696" spans="1:14">
      <c r="A696" s="700" t="str">
        <f>"Figure " &amp; $I$696 &amp; " - Total rates of home care hours provided by sector across Scotland"</f>
        <v>Figure 29 - Total rates of home care hours provided by sector across Scotland</v>
      </c>
      <c r="B696" s="700"/>
      <c r="C696" s="700"/>
      <c r="D696" s="700"/>
      <c r="E696" s="700"/>
      <c r="F696" s="700"/>
      <c r="G696" s="700"/>
      <c r="H696" s="700"/>
      <c r="I696" s="156">
        <f>$I$666+1</f>
        <v>29</v>
      </c>
    </row>
    <row r="700" spans="1:14">
      <c r="J700" s="13"/>
      <c r="K700" s="13"/>
      <c r="L700" s="13"/>
      <c r="M700" s="13"/>
    </row>
    <row r="701" spans="1:14">
      <c r="J701" s="13"/>
      <c r="K701" s="13"/>
      <c r="L701" s="13"/>
      <c r="M701" s="13"/>
    </row>
    <row r="702" spans="1:14">
      <c r="J702" s="13"/>
      <c r="K702" s="13"/>
      <c r="L702" s="13"/>
      <c r="M702" s="13"/>
    </row>
    <row r="703" spans="1:14">
      <c r="J703" s="13"/>
      <c r="K703" s="13"/>
      <c r="L703" s="13"/>
      <c r="M703" s="13"/>
    </row>
    <row r="704" spans="1:14">
      <c r="J704" s="13"/>
      <c r="K704" s="13"/>
      <c r="L704" s="13"/>
      <c r="M704" s="13"/>
    </row>
    <row r="705" spans="1:15">
      <c r="J705" s="13"/>
      <c r="K705" s="13"/>
      <c r="L705" s="13"/>
      <c r="M705" s="13"/>
    </row>
    <row r="706" spans="1:15">
      <c r="J706" s="13"/>
      <c r="K706" s="13"/>
      <c r="L706" s="13"/>
      <c r="M706" s="13"/>
    </row>
    <row r="707" spans="1:15">
      <c r="J707" s="13"/>
      <c r="K707" s="13"/>
      <c r="L707" s="13"/>
      <c r="M707" s="13"/>
    </row>
    <row r="708" spans="1:15">
      <c r="J708" s="13"/>
      <c r="K708" s="13"/>
      <c r="L708" s="13"/>
      <c r="M708" s="13"/>
    </row>
    <row r="709" spans="1:15">
      <c r="J709" s="13"/>
      <c r="K709" s="13"/>
      <c r="L709" s="13"/>
      <c r="M709" s="13"/>
    </row>
    <row r="710" spans="1:15">
      <c r="J710" s="13"/>
      <c r="K710" s="13"/>
      <c r="L710" s="13"/>
      <c r="M710" s="13"/>
    </row>
    <row r="711" spans="1:15">
      <c r="J711" s="13"/>
      <c r="K711" s="13"/>
      <c r="L711" s="13"/>
      <c r="M711" s="13"/>
    </row>
    <row r="712" spans="1:15">
      <c r="J712" s="13"/>
      <c r="K712" s="13"/>
      <c r="L712" s="13"/>
      <c r="M712" s="13"/>
    </row>
    <row r="719" spans="1:15" ht="28.5" customHeight="1">
      <c r="A719" s="692" t="str">
        <f>"At March 2009, a total of " &amp; TEXT($O$720,"0.0") &amp; " home care hours were provided per 1,000 population.  The breakdown of home care provision is given as follows:"</f>
        <v>At March 2009, a total of 74.5 home care hours were provided per 1,000 population.  The breakdown of home care provision is given as follows:</v>
      </c>
      <c r="B719" s="692"/>
      <c r="C719" s="692"/>
      <c r="D719" s="692"/>
      <c r="E719" s="692"/>
      <c r="F719" s="692"/>
      <c r="G719" s="692"/>
      <c r="H719" s="692"/>
      <c r="L719" t="s">
        <v>146</v>
      </c>
      <c r="M719" t="s">
        <v>147</v>
      </c>
      <c r="N719" t="s">
        <v>141</v>
      </c>
    </row>
    <row r="720" spans="1:15" ht="28.5" customHeight="1">
      <c r="A720" s="692" t="str">
        <f>"     -" &amp; TEXT($L$720,"0.0") &amp; " home care hours per 1,000 population (or " &amp; TEXT($L$721,"0%") &amp; " of the total) provided solely from local authority"</f>
        <v xml:space="preserve">     -706000.0 home care hours per 1,000 population (or 948242% of the total) provided solely from local authority</v>
      </c>
      <c r="B720" s="692"/>
      <c r="C720" s="692"/>
      <c r="D720" s="692"/>
      <c r="E720" s="692"/>
      <c r="F720" s="692"/>
      <c r="G720" s="692"/>
      <c r="H720" s="692"/>
      <c r="L720" s="90">
        <f>'Statistics - Older People'!F384</f>
        <v>706000</v>
      </c>
      <c r="M720" s="90">
        <f>'Statistics - Older People'!G384</f>
        <v>239.0568253047071</v>
      </c>
      <c r="N720" s="90">
        <f>'Statistics - Older People'!H384</f>
        <v>405.51885657519858</v>
      </c>
      <c r="O720" s="90">
        <f>'Statistics - Older People'!I384</f>
        <v>74.453551207211163</v>
      </c>
    </row>
    <row r="721" spans="1:17" ht="33" customHeight="1">
      <c r="A721" s="692" t="str">
        <f>"     -" &amp; TEXT($N$720,"0.0") &amp;" hours per 1,000 population (or " &amp; TEXT($N$721,"0%") &amp; " of the total) was provided from a combination of sectors"</f>
        <v xml:space="preserve">     -405.5 hours per 1,000 population (or 545% of the total) was provided from a combination of sectors</v>
      </c>
      <c r="B721" s="692"/>
      <c r="C721" s="692"/>
      <c r="D721" s="692"/>
      <c r="E721" s="692"/>
      <c r="F721" s="692"/>
      <c r="G721" s="692"/>
      <c r="H721" s="692"/>
      <c r="K721" t="s">
        <v>5</v>
      </c>
      <c r="L721" s="233">
        <f>L720/$O$720</f>
        <v>9482.4221081830783</v>
      </c>
      <c r="M721" s="233">
        <f>M720/$O$720</f>
        <v>3.210818307905686</v>
      </c>
      <c r="N721" s="233">
        <f>N720/$O$720</f>
        <v>5.4466019417475717</v>
      </c>
      <c r="O721" s="233">
        <f>O720/$O$720</f>
        <v>1</v>
      </c>
    </row>
    <row r="722" spans="1:17" ht="29.25" customHeight="1">
      <c r="A722" s="692" t="str">
        <f>"     -" &amp; TEXT($M$720,"0.0") &amp;" home care hours per 1,000 population (or " &amp; TEXT($M$721,"0%") &amp; " of the total) provided solely from private/voluntary sector"</f>
        <v xml:space="preserve">     -239.1 home care hours per 1,000 population (or 321% of the total) provided solely from private/voluntary sector</v>
      </c>
      <c r="B722" s="692"/>
      <c r="C722" s="692"/>
      <c r="D722" s="692"/>
      <c r="E722" s="692"/>
      <c r="F722" s="692"/>
      <c r="G722" s="692"/>
      <c r="H722" s="692"/>
    </row>
    <row r="724" spans="1:17" ht="18">
      <c r="A724" s="701" t="s">
        <v>88</v>
      </c>
      <c r="B724" s="701"/>
      <c r="C724" s="701"/>
      <c r="D724" s="701"/>
      <c r="E724" s="701"/>
      <c r="F724" s="701"/>
      <c r="G724" s="701"/>
      <c r="H724" s="701"/>
    </row>
    <row r="726" spans="1:17" ht="33.75" customHeight="1">
      <c r="A726" s="700" t="str">
        <f>"Figure " &amp; $I$726 &amp; " - Scotland's movement in learning disability social work expenditure"</f>
        <v>Figure 30 - Scotland's movement in learning disability social work expenditure</v>
      </c>
      <c r="B726" s="700"/>
      <c r="C726" s="700"/>
      <c r="D726" s="700"/>
      <c r="E726" s="700"/>
      <c r="F726" s="700"/>
      <c r="G726" s="700"/>
      <c r="H726" s="700"/>
      <c r="I726" s="156">
        <f>$I$696+1</f>
        <v>30</v>
      </c>
    </row>
    <row r="728" spans="1:17">
      <c r="J728" t="s">
        <v>88</v>
      </c>
    </row>
    <row r="729" spans="1:17" ht="12" customHeight="1">
      <c r="L729" s="10" t="s">
        <v>136</v>
      </c>
      <c r="M729" s="10" t="s">
        <v>3</v>
      </c>
      <c r="N729" s="10" t="s">
        <v>4</v>
      </c>
      <c r="O729" s="10" t="s">
        <v>0</v>
      </c>
      <c r="P729" s="10" t="s">
        <v>1</v>
      </c>
      <c r="Q729" s="10" t="s">
        <v>28</v>
      </c>
    </row>
    <row r="730" spans="1:17">
      <c r="J730" s="685">
        <f>C5</f>
        <v>0</v>
      </c>
      <c r="K730" s="686"/>
      <c r="L730" s="233">
        <f>('LFR Data'!$K2/'LFR Data'!$K$2)-1</f>
        <v>0</v>
      </c>
      <c r="M730" s="233">
        <f>('LFR Data'!$K3/'LFR Data'!$K$2)-1</f>
        <v>0.10396853320792654</v>
      </c>
      <c r="N730" s="233">
        <f>('LFR Data'!$K4/'LFR Data'!$K$2)-1</f>
        <v>7.0807812728529651E-2</v>
      </c>
      <c r="O730" s="233">
        <f>('LFR Data'!$K5/'LFR Data'!$K$2)-1</f>
        <v>6.2685064412338898E-2</v>
      </c>
      <c r="P730" s="233">
        <f>('LFR Data'!$K6/'LFR Data'!$K$2)-1</f>
        <v>6.6265222662380774E-2</v>
      </c>
      <c r="Q730" s="233">
        <f>('LFR Data'!$K7/'LFR Data'!$K$2)-1</f>
        <v>0.12932990347314854</v>
      </c>
    </row>
    <row r="731" spans="1:17">
      <c r="J731" s="685" t="s">
        <v>5</v>
      </c>
      <c r="K731" s="686"/>
      <c r="L731" s="233">
        <f>('LFR Data'!$K14/'LFR Data'!$K$14)-1</f>
        <v>0</v>
      </c>
      <c r="M731" s="233">
        <f>('LFR Data'!$K15/'LFR Data'!$K$14)-1</f>
        <v>2.9874825328070287E-2</v>
      </c>
      <c r="N731" s="233">
        <f>('LFR Data'!$K16/'LFR Data'!$K$14)-1</f>
        <v>6.8520887472616643E-2</v>
      </c>
      <c r="O731" s="233">
        <f>('LFR Data'!$K17/'LFR Data'!$K$14)-1</f>
        <v>0.1594983482338328</v>
      </c>
      <c r="P731" s="233">
        <f>('LFR Data'!$K18/'LFR Data'!$K$14)-1</f>
        <v>0.19764637898894688</v>
      </c>
      <c r="Q731" s="233">
        <f>('LFR Data'!$K19/'LFR Data'!$K$14)-1</f>
        <v>0.20362620908118667</v>
      </c>
    </row>
    <row r="744" spans="1:9">
      <c r="A744" s="16" t="str">
        <f>"- Over the period, spend has moved from £"&amp;ROUND('LFR Data'!K14,-2)/1000&amp;" million to £"&amp;ROUND('LFR Data'!K19,-2)/1000&amp;" million (in real terms)"</f>
        <v>- Over the period, spend has moved from £562.2 million to £676.7 million (in real terms)</v>
      </c>
    </row>
    <row r="745" spans="1:9">
      <c r="A745" s="16" t="str">
        <f>"- This represents a movement of "&amp;ROUND('LFR Data'!K24*100,0)&amp;"%"</f>
        <v>- This represents a movement of 20%</v>
      </c>
    </row>
    <row r="747" spans="1:9">
      <c r="A747" s="16"/>
    </row>
    <row r="748" spans="1:9" ht="31.5" customHeight="1">
      <c r="A748" s="700" t="str">
        <f>"Figure " &amp; $I$748 &amp;" - " &amp; $C$5 &amp; " and Scotland's per head expenditure on learning disability services"</f>
        <v>Figure 31 -  and Scotland's per head expenditure on learning disability services</v>
      </c>
      <c r="B748" s="700"/>
      <c r="C748" s="700"/>
      <c r="D748" s="700"/>
      <c r="E748" s="700"/>
      <c r="F748" s="700"/>
      <c r="G748" s="700"/>
      <c r="H748" s="700"/>
      <c r="I748" s="156">
        <f>$I$726+1</f>
        <v>31</v>
      </c>
    </row>
    <row r="754" spans="1:17">
      <c r="L754" s="10" t="s">
        <v>2</v>
      </c>
      <c r="M754" s="10" t="s">
        <v>3</v>
      </c>
      <c r="N754" s="10" t="s">
        <v>4</v>
      </c>
      <c r="O754" s="10" t="s">
        <v>0</v>
      </c>
      <c r="P754" s="10" t="s">
        <v>1</v>
      </c>
      <c r="Q754" s="10" t="s">
        <v>28</v>
      </c>
    </row>
    <row r="755" spans="1:17">
      <c r="J755" s="685">
        <f>C5</f>
        <v>0</v>
      </c>
      <c r="K755" s="686"/>
      <c r="L755" s="235" t="e">
        <f>VLOOKUP(Scotland!$C$5,'2003-04'!$O$2:$AA$34,8)</f>
        <v>#N/A</v>
      </c>
      <c r="M755" s="235" t="e">
        <f>VLOOKUP(Scotland!$C$5,'2004-05'!$O$2:$AA$34,8)</f>
        <v>#N/A</v>
      </c>
      <c r="N755" s="235" t="e">
        <f>VLOOKUP(Scotland!$C$5,'2005-06'!$O$2:$AA$34,8)</f>
        <v>#N/A</v>
      </c>
      <c r="O755" s="235" t="e">
        <f>VLOOKUP(Scotland!$C$5,'2006-07'!$O$2:$AA$34,8)</f>
        <v>#N/A</v>
      </c>
      <c r="P755" s="235" t="e">
        <f>VLOOKUP(Scotland!$C$5,'2007-08'!$O$2:$AA$34,8)</f>
        <v>#N/A</v>
      </c>
      <c r="Q755" s="235" t="e">
        <f>VLOOKUP(Scotland!$C$5,'2008-09'!$O$2:$AA$34,8)</f>
        <v>#N/A</v>
      </c>
    </row>
    <row r="756" spans="1:17">
      <c r="J756" s="685" t="s">
        <v>5</v>
      </c>
      <c r="K756" s="686"/>
      <c r="L756" s="235">
        <f>'2003-04'!$V$35</f>
        <v>154.92817620874149</v>
      </c>
      <c r="M756" s="235">
        <f>'2004-05'!$V$35</f>
        <v>168.17148857329011</v>
      </c>
      <c r="N756" s="235">
        <f>'2005-06'!$V$35</f>
        <v>175.55222051845143</v>
      </c>
      <c r="O756" s="235">
        <f>'2006-07'!$V$35</f>
        <v>179.33738727845005</v>
      </c>
      <c r="P756" s="235">
        <f>'2007-08'!$V$35</f>
        <v>184.78288386532901</v>
      </c>
      <c r="Q756" s="235">
        <f>'2008-09'!$V$35</f>
        <v>199.58991320888421</v>
      </c>
    </row>
    <row r="757" spans="1:17">
      <c r="K757" t="s">
        <v>160</v>
      </c>
      <c r="L757" s="11">
        <f>MIN('2003-04'!$V$3:$V$34)</f>
        <v>88.73978173766514</v>
      </c>
      <c r="M757" s="11">
        <f>MIN('2004-05'!$V$3:$V$34)</f>
        <v>105.29100146688718</v>
      </c>
      <c r="N757" s="11">
        <f>MIN('2005-06'!$V$3:$V$34)</f>
        <v>114.35583424194054</v>
      </c>
      <c r="O757" s="11">
        <f>MIN('2006-07'!$V$3:$V$34)</f>
        <v>115.80674615780133</v>
      </c>
      <c r="P757" s="11">
        <f>MIN('2007-08'!$V$3:$V$34)</f>
        <v>125.7259207375746</v>
      </c>
      <c r="Q757" s="11">
        <f>MIN('2008-09'!$V$3:$V$34)</f>
        <v>127.63015402767557</v>
      </c>
    </row>
    <row r="758" spans="1:17">
      <c r="K758" t="s">
        <v>161</v>
      </c>
      <c r="L758" s="11">
        <f>MAX('2003-04'!$V$3:$V$34)</f>
        <v>317.10276660389053</v>
      </c>
      <c r="M758" s="11">
        <f>MAX('2004-05'!$V$3:$V$34)</f>
        <v>296.08824112715894</v>
      </c>
      <c r="N758" s="11">
        <f>MAX('2005-06'!$V$3:$V$34)</f>
        <v>260.04125337351007</v>
      </c>
      <c r="O758" s="11">
        <f>MAX('2006-07'!$V$3:$V$34)</f>
        <v>282.5596496367171</v>
      </c>
      <c r="P758" s="11">
        <f>MAX('2007-08'!$V$3:$V$34)</f>
        <v>295.7516247066855</v>
      </c>
      <c r="Q758" s="11">
        <f>MAX('2008-09'!$V$3:$V$34)</f>
        <v>339.21353412579413</v>
      </c>
    </row>
    <row r="765" spans="1:17">
      <c r="L765" s="50"/>
    </row>
    <row r="766" spans="1:17">
      <c r="A766" s="50" t="str">
        <f>"- Per head of population aged 18 to 64 in 2008/09:"</f>
        <v>- Per head of population aged 18 to 64 in 2008/09:</v>
      </c>
      <c r="L766" s="50"/>
    </row>
    <row r="767" spans="1:17">
      <c r="A767" s="50" t="str">
        <f>"      - The average spend per head across Scotland has moved from £"&amp;ROUND(L756,0)&amp;" to £"&amp;ROUND(Q756,0)</f>
        <v xml:space="preserve">      - The average spend per head across Scotland has moved from £155 to £200</v>
      </c>
      <c r="L767" s="50"/>
    </row>
    <row r="768" spans="1:17">
      <c r="A768" s="50" t="str">
        <f>"      - The minimum spend per head across Scotland has moved from £"&amp;ROUND(L757,0)&amp;" to £"&amp;ROUND(Q757,0)</f>
        <v xml:space="preserve">      - The minimum spend per head across Scotland has moved from £89 to £128</v>
      </c>
      <c r="L768" s="50"/>
    </row>
    <row r="769" spans="1:12">
      <c r="A769" s="50" t="str">
        <f>"      - The maximum spend per head across Scotland has moved from £"&amp;ROUND(L758,0)&amp;" to £"&amp;ROUND(Q758,0)</f>
        <v xml:space="preserve">      - The maximum spend per head across Scotland has moved from £317 to £339</v>
      </c>
      <c r="L769" s="50"/>
    </row>
    <row r="770" spans="1:12" ht="25.5" customHeight="1">
      <c r="A770" s="13"/>
      <c r="B770" s="13"/>
      <c r="C770" s="13"/>
      <c r="D770" s="13"/>
      <c r="E770" s="13"/>
      <c r="F770" s="13"/>
      <c r="G770" s="13"/>
      <c r="H770" s="13"/>
      <c r="I770" s="196"/>
      <c r="J770" s="13"/>
      <c r="K770" s="13"/>
      <c r="L770" s="198"/>
    </row>
    <row r="771" spans="1:12">
      <c r="A771" s="698" t="s">
        <v>6</v>
      </c>
      <c r="B771" s="699"/>
      <c r="C771" s="699"/>
      <c r="D771" s="699"/>
      <c r="E771" s="699"/>
      <c r="F771" s="699"/>
      <c r="G771" s="699"/>
      <c r="H771" s="699"/>
      <c r="I771" s="199"/>
      <c r="J771" s="13"/>
      <c r="K771" s="13"/>
      <c r="L771" s="198"/>
    </row>
    <row r="772" spans="1:12" ht="34.5" customHeight="1">
      <c r="A772" s="696" t="s">
        <v>201</v>
      </c>
      <c r="B772" s="697"/>
      <c r="C772" s="697"/>
      <c r="D772" s="697"/>
      <c r="E772" s="697"/>
      <c r="F772" s="697"/>
      <c r="G772" s="697"/>
      <c r="H772" s="697"/>
      <c r="I772" s="199"/>
      <c r="J772" s="13"/>
      <c r="K772" s="13"/>
      <c r="L772" s="198"/>
    </row>
    <row r="773" spans="1:12">
      <c r="L773" s="50"/>
    </row>
    <row r="774" spans="1:12">
      <c r="A774" s="700" t="str">
        <f>"Figure " &amp; $I$774 &amp; " - Learning disability per head spend across Scotland"</f>
        <v>Figure 32 - Learning disability per head spend across Scotland</v>
      </c>
      <c r="B774" s="700"/>
      <c r="C774" s="700"/>
      <c r="D774" s="700"/>
      <c r="E774" s="700"/>
      <c r="F774" s="700"/>
      <c r="G774" s="700"/>
      <c r="H774" s="700"/>
      <c r="I774" s="156">
        <f>$I$748+1</f>
        <v>32</v>
      </c>
    </row>
    <row r="792" spans="1:8">
      <c r="A792" s="16"/>
    </row>
    <row r="793" spans="1:8">
      <c r="A793" s="16"/>
    </row>
    <row r="794" spans="1:8">
      <c r="A794" s="16"/>
    </row>
    <row r="795" spans="1:8">
      <c r="A795" s="50"/>
    </row>
    <row r="796" spans="1:8">
      <c r="A796" s="50" t="str">
        <f>"- The average spend nationally in 2008/09 was £"&amp;ROUND('Per Capita Data - LD'!D39,0) &amp; " (represented by the horizontal line)"</f>
        <v>- The average spend nationally in 2008/09 was £48 (represented by the horizontal line)</v>
      </c>
    </row>
    <row r="797" spans="1:8">
      <c r="A797" t="str">
        <f>"- The range of spend per head in 2008/09 was £"&amp;ROUND('Per Capita Data - LD'!D37,0)&amp;" to £"&amp;ROUND('Per Capita Data - LD'!D38,0)</f>
        <v>- The range of spend per head in 2008/09 was £140 to £425</v>
      </c>
    </row>
    <row r="799" spans="1:8" ht="18">
      <c r="A799" s="701" t="s">
        <v>149</v>
      </c>
      <c r="B799" s="701"/>
      <c r="C799" s="701"/>
      <c r="D799" s="701"/>
      <c r="E799" s="701"/>
      <c r="F799" s="701"/>
      <c r="G799" s="701"/>
      <c r="H799" s="701"/>
    </row>
    <row r="801" spans="1:18" ht="30" customHeight="1">
      <c r="A801" s="700" t="str">
        <f>"Figure " &amp; $I$801 &amp; " - Scotland's movement in mental health social work expenditure"</f>
        <v>Figure 33 - Scotland's movement in mental health social work expenditure</v>
      </c>
      <c r="B801" s="700"/>
      <c r="C801" s="700"/>
      <c r="D801" s="700"/>
      <c r="E801" s="700"/>
      <c r="F801" s="700"/>
      <c r="G801" s="700"/>
      <c r="H801" s="700"/>
      <c r="I801" s="156">
        <f>$I$774+1</f>
        <v>33</v>
      </c>
      <c r="M801" t="s">
        <v>136</v>
      </c>
      <c r="N801" t="s">
        <v>3</v>
      </c>
      <c r="O801" t="s">
        <v>4</v>
      </c>
      <c r="P801" t="s">
        <v>0</v>
      </c>
      <c r="Q801" t="s">
        <v>1</v>
      </c>
      <c r="R801" t="s">
        <v>28</v>
      </c>
    </row>
    <row r="802" spans="1:18">
      <c r="L802">
        <f>C5</f>
        <v>0</v>
      </c>
      <c r="M802" s="233">
        <f>('LFR Data'!$L2)/('LFR Data'!$L$2)-1</f>
        <v>0</v>
      </c>
      <c r="N802" s="233">
        <f>('LFR Data'!$L3)/('LFR Data'!$L$2)-1</f>
        <v>2.8640992511600016E-2</v>
      </c>
      <c r="O802" s="233">
        <f>('LFR Data'!$L4)/('LFR Data'!$L$2)-1</f>
        <v>3.1240677717858212E-2</v>
      </c>
      <c r="P802" s="233">
        <f>('LFR Data'!$L5)/('LFR Data'!$L$2)-1</f>
        <v>2.2635931628300909E-4</v>
      </c>
      <c r="Q802" s="233">
        <f>('LFR Data'!$L6)/('LFR Data'!$L$2)-1</f>
        <v>-0.10504036894207791</v>
      </c>
      <c r="R802" s="233">
        <f>('LFR Data'!$L7)/('LFR Data'!$L$2)-1</f>
        <v>-5.0758688255729711E-2</v>
      </c>
    </row>
    <row r="803" spans="1:18">
      <c r="L803" t="s">
        <v>5</v>
      </c>
      <c r="M803" s="233">
        <f>('LFR Data'!$L14)/('LFR Data'!$L$14)-1</f>
        <v>0</v>
      </c>
      <c r="N803" s="233">
        <f>('LFR Data'!$L15)/('LFR Data'!$L$14)-1</f>
        <v>-0.14095755000642596</v>
      </c>
      <c r="O803" s="233">
        <f>('LFR Data'!$L16)/('LFR Data'!$L$14)-1</f>
        <v>-9.1685981601671185E-2</v>
      </c>
      <c r="P803" s="233">
        <f>('LFR Data'!$L17)/('LFR Data'!$L$14)-1</f>
        <v>-8.962093174353325E-2</v>
      </c>
      <c r="Q803" s="233">
        <f>('LFR Data'!$L18)/('LFR Data'!$L$14)-1</f>
        <v>-8.3872979675720272E-2</v>
      </c>
      <c r="R803" s="233">
        <f>('LFR Data'!$L19)/('LFR Data'!$L$14)-1</f>
        <v>-8.0048350493900466E-2</v>
      </c>
    </row>
    <row r="813" spans="1:18">
      <c r="J813" s="16"/>
    </row>
    <row r="814" spans="1:18">
      <c r="J814" s="16"/>
    </row>
    <row r="815" spans="1:18">
      <c r="J815" s="16"/>
    </row>
    <row r="818" spans="1:17" ht="13.5" customHeight="1">
      <c r="A818" s="16" t="str">
        <f>"- Over the period, spend has moved from £"&amp;ROUND('LFR Data'!$L$14,-2)/1000&amp;" million to £"&amp;ROUND('LFR Data'!$L$19,-2)/1000&amp;" million (in real terms)"</f>
        <v>- Over the period, spend has moved from £174.8 million to £160.8 million (in real terms)</v>
      </c>
    </row>
    <row r="819" spans="1:17" ht="13.5" customHeight="1">
      <c r="A819" s="16" t="str">
        <f>"- This represents a movement of "&amp;ROUND('LFR Data'!$L$24*100,0)&amp;"%"</f>
        <v>- This represents a movement of -12%</v>
      </c>
    </row>
    <row r="820" spans="1:17" ht="13.5" customHeight="1"/>
    <row r="821" spans="1:17">
      <c r="A821" s="16"/>
    </row>
    <row r="823" spans="1:17" ht="31.5" customHeight="1">
      <c r="A823" s="700" t="str">
        <f>"Figure " &amp; $I$823 &amp;" - Scotland's mental health social work expenditure"</f>
        <v>Figure 34 - Scotland's mental health social work expenditure</v>
      </c>
      <c r="B823" s="700"/>
      <c r="C823" s="700"/>
      <c r="D823" s="700"/>
      <c r="E823" s="700"/>
      <c r="F823" s="700"/>
      <c r="G823" s="700"/>
      <c r="H823" s="700"/>
      <c r="I823" s="156">
        <f>$I$801+1</f>
        <v>34</v>
      </c>
    </row>
    <row r="832" spans="1:17">
      <c r="L832" t="s">
        <v>2</v>
      </c>
      <c r="M832" t="s">
        <v>3</v>
      </c>
      <c r="N832" t="s">
        <v>4</v>
      </c>
      <c r="O832" t="s">
        <v>0</v>
      </c>
      <c r="P832" t="s">
        <v>1</v>
      </c>
      <c r="Q832" t="s">
        <v>28</v>
      </c>
    </row>
    <row r="833" spans="1:17">
      <c r="K833">
        <f>C5</f>
        <v>0</v>
      </c>
      <c r="L833" s="90" t="e">
        <f>VLOOKUP(Scotland!$C$5,'2003-04'!$O$2:$AA$34,9)</f>
        <v>#N/A</v>
      </c>
      <c r="M833" s="90" t="e">
        <f>VLOOKUP(Scotland!$C$5,'2004-05'!$O$2:$AA$34,9)</f>
        <v>#N/A</v>
      </c>
      <c r="N833" s="90" t="e">
        <f>VLOOKUP(Scotland!$C$5,'2005-06'!$O$2:$AA$34,9)</f>
        <v>#N/A</v>
      </c>
      <c r="O833" s="90" t="e">
        <f>VLOOKUP(Scotland!$C$5,'2006-07'!$O$2:$AA$34,9)</f>
        <v>#N/A</v>
      </c>
      <c r="P833" s="90" t="e">
        <f>VLOOKUP(Scotland!$C$5,'2007-08'!$O$2:$AA$34,9)</f>
        <v>#N/A</v>
      </c>
      <c r="Q833" s="90" t="e">
        <f>VLOOKUP(Scotland!$C$5,'2008-09'!$O$2:$AA$34,9)</f>
        <v>#N/A</v>
      </c>
    </row>
    <row r="834" spans="1:17">
      <c r="K834" t="s">
        <v>5</v>
      </c>
      <c r="L834" s="90">
        <f>'2003-04'!$W$35</f>
        <v>47.411239852151709</v>
      </c>
      <c r="M834" s="90">
        <f>'2004-05'!$W$35</f>
        <v>50.753150643497669</v>
      </c>
      <c r="N834" s="90">
        <f>'2005-06'!$W$35</f>
        <v>54.586411542006886</v>
      </c>
      <c r="O834" s="90">
        <f>'2006-07'!$W$35</f>
        <v>46.513523487309016</v>
      </c>
      <c r="P834" s="90">
        <f>'2007-08'!$W$35</f>
        <v>48.841946041276437</v>
      </c>
      <c r="Q834" s="90">
        <f>'2008-09'!$W$35</f>
        <v>48.726917307872704</v>
      </c>
    </row>
    <row r="835" spans="1:17">
      <c r="K835" t="s">
        <v>160</v>
      </c>
      <c r="L835" s="90">
        <f>MIN('2003-04'!$W$3:$W$34)</f>
        <v>15.602084117551474</v>
      </c>
      <c r="M835" s="90">
        <f>MIN('2004-05'!$W$3:$W$34)</f>
        <v>15.626691482612115</v>
      </c>
      <c r="N835" s="90">
        <f>MIN('2005-06'!$W$3:$W$34)</f>
        <v>15.793776601525972</v>
      </c>
      <c r="O835" s="90">
        <f>MIN('2006-07'!$W$3:$W$34)</f>
        <v>18.507233087862119</v>
      </c>
      <c r="P835" s="90">
        <f>MIN('2007-08'!$W$3:$W$34)</f>
        <v>20.815739363998045</v>
      </c>
      <c r="Q835" s="90">
        <f>MIN('2008-09'!$W$3:$W$34)</f>
        <v>28.658018137814704</v>
      </c>
    </row>
    <row r="836" spans="1:17">
      <c r="K836" t="s">
        <v>161</v>
      </c>
      <c r="L836" s="90">
        <f>MAX('2003-04'!$W$3:$W$34)</f>
        <v>121.28867087579381</v>
      </c>
      <c r="M836" s="90">
        <f>MAX('2004-05'!$W$3:$W$34)</f>
        <v>129.32786518961635</v>
      </c>
      <c r="N836" s="90">
        <f>MAX('2005-06'!$W$3:$W$34)</f>
        <v>143.38356897061681</v>
      </c>
      <c r="O836" s="90">
        <f>MAX('2006-07'!$W$3:$W$34)</f>
        <v>101.99885278903001</v>
      </c>
      <c r="P836" s="90">
        <f>MAX('2007-08'!$W$3:$W$34)</f>
        <v>92.48927433522816</v>
      </c>
      <c r="Q836" s="90">
        <f>MAX('2008-09'!$W$3:$W$34)</f>
        <v>105.91489377304443</v>
      </c>
    </row>
    <row r="843" spans="1:17">
      <c r="A843" s="50" t="str">
        <f>"- Per head of population aged 18 to 64 in 2008/09:"</f>
        <v>- Per head of population aged 18 to 64 in 2008/09:</v>
      </c>
      <c r="L843" s="50"/>
    </row>
    <row r="844" spans="1:17">
      <c r="A844" s="50" t="str">
        <f>"      - The average spend per head across Scotland has moved from £"&amp;ROUND($L$834,0)&amp;" to £"&amp;ROUND($Q$834,0)</f>
        <v xml:space="preserve">      - The average spend per head across Scotland has moved from £47 to £49</v>
      </c>
      <c r="L844" s="50"/>
    </row>
    <row r="845" spans="1:17">
      <c r="A845" s="50" t="str">
        <f>"      - The minimum spend per head across Scotland has moved from £"&amp;ROUND($L$835,0)&amp;" to £"&amp;ROUND($Q$835,0)</f>
        <v xml:space="preserve">      - The minimum spend per head across Scotland has moved from £16 to £29</v>
      </c>
      <c r="L845" s="50"/>
    </row>
    <row r="846" spans="1:17">
      <c r="A846" s="50" t="str">
        <f>"      - The maximum spend per head across Scotland has moved from £"&amp;ROUND($L$836,0)&amp;" to £"&amp;ROUND($Q$836,0)</f>
        <v xml:space="preserve">      - The maximum spend per head across Scotland has moved from £121 to £106</v>
      </c>
    </row>
    <row r="848" spans="1:17">
      <c r="A848" s="1" t="str">
        <f>"Figure " &amp; $I$848 &amp; " - Mental health per head social work expenditure across Scotland"</f>
        <v>Figure 35 - Mental health per head social work expenditure across Scotland</v>
      </c>
      <c r="I848" s="156">
        <f>$I$823+1</f>
        <v>35</v>
      </c>
    </row>
    <row r="868" spans="1:17">
      <c r="A868" s="50"/>
    </row>
    <row r="869" spans="1:17">
      <c r="A869" s="50" t="str">
        <f>"- The average spend nationally in 2008/09 was £"&amp;ROUND('Per Capita Data - MH'!$D$39,0) &amp; " (represented by the horizontal line)"</f>
        <v>- The average spend nationally in 2008/09 was £28 (represented by the horizontal line)</v>
      </c>
    </row>
    <row r="870" spans="1:17">
      <c r="A870" t="str">
        <f>"- The range of spend per head in 2008/09 was £"&amp;ROUND('Per Capita Data - MH'!$D$37,0)&amp;" to £"&amp;ROUND('Per Capita Data - MH'!$D$38,0)</f>
        <v>- The range of spend per head in 2008/09 was £32 to £106</v>
      </c>
    </row>
    <row r="873" spans="1:17" ht="18">
      <c r="A873" s="702" t="s">
        <v>202</v>
      </c>
      <c r="B873" s="702"/>
      <c r="C873" s="702"/>
      <c r="D873" s="702"/>
      <c r="E873" s="702"/>
      <c r="F873" s="702"/>
      <c r="G873" s="702"/>
      <c r="H873" s="702"/>
    </row>
    <row r="875" spans="1:17" ht="30.75" customHeight="1">
      <c r="A875" s="700" t="str">
        <f>"Figure " &amp; $I$875 &amp; " - Scotland's movement in addictions/substance misuse social work expenditure"</f>
        <v>Figure 36 - Scotland's movement in addictions/substance misuse social work expenditure</v>
      </c>
      <c r="B875" s="700"/>
      <c r="C875" s="700"/>
      <c r="D875" s="700"/>
      <c r="E875" s="700"/>
      <c r="F875" s="700"/>
      <c r="G875" s="700"/>
      <c r="H875" s="700"/>
      <c r="I875" s="156">
        <f>$I$848+1</f>
        <v>36</v>
      </c>
    </row>
    <row r="877" spans="1:17">
      <c r="L877" t="s">
        <v>136</v>
      </c>
      <c r="M877" t="s">
        <v>3</v>
      </c>
      <c r="N877" t="s">
        <v>4</v>
      </c>
      <c r="O877" t="s">
        <v>0</v>
      </c>
      <c r="P877" t="s">
        <v>1</v>
      </c>
      <c r="Q877" t="s">
        <v>28</v>
      </c>
    </row>
    <row r="878" spans="1:17">
      <c r="K878">
        <f>$C$5</f>
        <v>0</v>
      </c>
      <c r="L878" s="233">
        <f>('LFR Data'!$M2)/('LFR Data'!$M$2)-1</f>
        <v>0</v>
      </c>
      <c r="M878" s="233">
        <f>('LFR Data'!$M3)/('LFR Data'!$M$2)-1</f>
        <v>5.5988188572579922E-3</v>
      </c>
      <c r="N878" s="233">
        <f>('LFR Data'!$M4)/('LFR Data'!$M$2)-1</f>
        <v>-5.9719881011518039E-2</v>
      </c>
      <c r="O878" s="233">
        <f>('LFR Data'!$M5)/('LFR Data'!$M$2)-1</f>
        <v>-0.23757189591130512</v>
      </c>
      <c r="P878" s="233">
        <f>('LFR Data'!$M6)/('LFR Data'!$M$2)-1</f>
        <v>-0.33035480978431908</v>
      </c>
      <c r="Q878" s="233">
        <f>('LFR Data'!$M7)/('LFR Data'!$M$2)-1</f>
        <v>-0.36120958495227551</v>
      </c>
    </row>
    <row r="879" spans="1:17">
      <c r="K879" t="s">
        <v>5</v>
      </c>
      <c r="L879" s="233">
        <f>('LFR Data'!$M14)/('LFR Data'!$M$14)-1</f>
        <v>0</v>
      </c>
      <c r="M879" s="233">
        <f>('LFR Data'!$M15)/('LFR Data'!$M$14)-1</f>
        <v>0.10277068515357279</v>
      </c>
      <c r="N879" s="233">
        <f>('LFR Data'!$M16)/('LFR Data'!$M$14)-1</f>
        <v>0.20178866192537437</v>
      </c>
      <c r="O879" s="233">
        <f>('LFR Data'!$M17)/('LFR Data'!$M$14)-1</f>
        <v>0.25676232854006664</v>
      </c>
      <c r="P879" s="233">
        <f>('LFR Data'!$M18)/('LFR Data'!$M$14)-1</f>
        <v>0.28789763557576942</v>
      </c>
      <c r="Q879" s="233">
        <f>('LFR Data'!$M19)/('LFR Data'!$M$14)-1</f>
        <v>0.39271484331465789</v>
      </c>
    </row>
    <row r="880" spans="1:17">
      <c r="A880" s="16"/>
    </row>
    <row r="881" spans="1:1">
      <c r="A881" s="16"/>
    </row>
    <row r="882" spans="1:1">
      <c r="A882" s="16"/>
    </row>
    <row r="883" spans="1:1">
      <c r="A883" s="16"/>
    </row>
    <row r="884" spans="1:1">
      <c r="A884" s="16"/>
    </row>
    <row r="885" spans="1:1">
      <c r="A885" s="16"/>
    </row>
    <row r="886" spans="1:1">
      <c r="A886" s="16"/>
    </row>
    <row r="887" spans="1:1">
      <c r="A887" s="16"/>
    </row>
    <row r="888" spans="1:1">
      <c r="A888" s="16"/>
    </row>
    <row r="889" spans="1:1">
      <c r="A889" s="16"/>
    </row>
    <row r="890" spans="1:1">
      <c r="A890" s="16"/>
    </row>
    <row r="891" spans="1:1" ht="15.75" customHeight="1"/>
    <row r="892" spans="1:1" ht="13.5" customHeight="1">
      <c r="A892" s="16" t="str">
        <f>"- Over the period, spend has moved from £"&amp;ROUND('LFR Data'!$M$14,-2)/1000&amp;" million to £"&amp;ROUND('LFR Data'!$M$19,-2)/1000&amp;" million (in real terms)"</f>
        <v>- Over the period, spend has moved from £44.2 million to £61.6 million (in real terms)</v>
      </c>
    </row>
    <row r="893" spans="1:1" ht="13.5" customHeight="1">
      <c r="A893" s="16" t="str">
        <f>"- This represents a movement of "&amp;ROUND('LFR Data'!$M$24*100,0)&amp;"%"</f>
        <v>- This represents a movement of 56%</v>
      </c>
    </row>
    <row r="894" spans="1:1" ht="13.5" customHeight="1"/>
    <row r="895" spans="1:1" ht="13.5" customHeight="1">
      <c r="A895" s="16"/>
    </row>
    <row r="896" spans="1:1" ht="13.5" customHeight="1">
      <c r="A896" s="16"/>
    </row>
    <row r="897" spans="1:17" ht="14.25" customHeight="1">
      <c r="A897" s="88" t="str">
        <f>"Figure "&amp; $I$897 &amp; " - Scotland's addiction services per head spend"</f>
        <v>Figure 37 - Scotland's addiction services per head spend</v>
      </c>
      <c r="I897" s="156">
        <f>$I$875+1</f>
        <v>37</v>
      </c>
    </row>
    <row r="905" spans="1:17">
      <c r="L905" t="s">
        <v>2</v>
      </c>
      <c r="M905" t="s">
        <v>3</v>
      </c>
      <c r="N905" t="s">
        <v>4</v>
      </c>
      <c r="O905" t="s">
        <v>0</v>
      </c>
      <c r="P905" t="s">
        <v>1</v>
      </c>
      <c r="Q905" t="s">
        <v>28</v>
      </c>
    </row>
    <row r="906" spans="1:17">
      <c r="K906">
        <f>$C$5</f>
        <v>0</v>
      </c>
      <c r="L906" s="90" t="e">
        <f>VLOOKUP(Scotland!$C$5,'2003-04'!$O$2:$AA$34,10)</f>
        <v>#N/A</v>
      </c>
      <c r="M906" s="90" t="e">
        <f>VLOOKUP(Scotland!$C$5,'2004-05'!$O$2:$AA$34,10)</f>
        <v>#N/A</v>
      </c>
      <c r="N906" s="90" t="e">
        <f>VLOOKUP(Scotland!$C$5,'2005-06'!$O$2:$AA$34,10)</f>
        <v>#N/A</v>
      </c>
      <c r="O906" s="90" t="e">
        <f>VLOOKUP(Scotland!$C$5,'2006-07'!$O$2:$AA$34,10)</f>
        <v>#N/A</v>
      </c>
      <c r="P906" s="90" t="e">
        <f>VLOOKUP(Scotland!$C$5,'2007-08'!$O$2:$AA$34,10)</f>
        <v>#N/A</v>
      </c>
      <c r="Q906" s="90" t="e">
        <f>VLOOKUP(Scotland!$C$5,'2008-09'!$O$2:$AA$34,10)</f>
        <v>#N/A</v>
      </c>
    </row>
    <row r="907" spans="1:17">
      <c r="K907" t="s">
        <v>5</v>
      </c>
      <c r="L907" s="90">
        <f>'2003-04'!$X$35</f>
        <v>13.741397563493141</v>
      </c>
      <c r="M907" s="90">
        <f>'2004-05'!$X$35</f>
        <v>13.24196709903957</v>
      </c>
      <c r="N907" s="90">
        <f>'2005-06'!$X$35</f>
        <v>13.802767064195264</v>
      </c>
      <c r="O907" s="90">
        <f>'2006-07'!$X$35</f>
        <v>15.098417861587466</v>
      </c>
      <c r="P907" s="90">
        <f>'2007-08'!$X$35</f>
        <v>16.340549570013444</v>
      </c>
      <c r="Q907" s="90">
        <f>'2008-09'!$X$35</f>
        <v>17.009104173402733</v>
      </c>
    </row>
    <row r="908" spans="1:17">
      <c r="K908" t="s">
        <v>160</v>
      </c>
      <c r="L908" s="149">
        <f>MIN('2003-04'!$X$3:$X$34)</f>
        <v>3.0578129246013974</v>
      </c>
      <c r="M908" s="149">
        <f>MIN('2004-05'!$X$3:$X$34)</f>
        <v>2.8229331287278696</v>
      </c>
      <c r="N908" s="149">
        <f>MIN('2005-06'!$X$3:$X$34)</f>
        <v>2.2291587147342078</v>
      </c>
      <c r="O908" s="149">
        <f>MIN('2006-07'!$X$3:$X$34)</f>
        <v>2.971798245259655</v>
      </c>
      <c r="P908" s="149">
        <f>MIN('2007-08'!$X$3:$X$34)</f>
        <v>1.5831234909194931</v>
      </c>
      <c r="Q908" s="149">
        <f>MIN('2008-09'!$X$3:$X$34)</f>
        <v>2.2487752815719375</v>
      </c>
    </row>
    <row r="909" spans="1:17">
      <c r="K909" t="s">
        <v>161</v>
      </c>
      <c r="L909" s="149">
        <f>MAX('2003-04'!$X$3:$X$34)</f>
        <v>50.144319707332116</v>
      </c>
      <c r="M909" s="149">
        <f>MAX('2004-05'!$X$3:$X$34)</f>
        <v>34.772665106621666</v>
      </c>
      <c r="N909" s="149">
        <f>MAX('2005-06'!$X$3:$X$34)</f>
        <v>36.971749488087184</v>
      </c>
      <c r="O909" s="149">
        <f>MAX('2006-07'!$X$3:$X$34)</f>
        <v>41.993846855088705</v>
      </c>
      <c r="P909" s="149">
        <f>MAX('2007-08'!$X$3:$X$34)</f>
        <v>49.943851350053833</v>
      </c>
      <c r="Q909" s="149">
        <f>MAX('2008-09'!$X$3:$X$34)</f>
        <v>55.056314302410712</v>
      </c>
    </row>
    <row r="917" spans="1:12">
      <c r="A917" s="50" t="str">
        <f>"- Per head of population aged 18 to 64 in 2008/09:"</f>
        <v>- Per head of population aged 18 to 64 in 2008/09:</v>
      </c>
      <c r="L917" s="50"/>
    </row>
    <row r="918" spans="1:12">
      <c r="A918" s="50" t="str">
        <f>"      - The average spend per head across Scotland has moved from £"&amp;ROUND($L$907,0)&amp;" to £"&amp;ROUND($Q$907,0)</f>
        <v xml:space="preserve">      - The average spend per head across Scotland has moved from £14 to £17</v>
      </c>
      <c r="L918" s="50"/>
    </row>
    <row r="919" spans="1:12">
      <c r="A919" s="50" t="str">
        <f>"      - The minimum spend per head across Scotland has moved from £"&amp;ROUND($L$908,0)&amp;" to £"&amp;ROUND($Q$908,0)</f>
        <v xml:space="preserve">      - The minimum spend per head across Scotland has moved from £3 to £2</v>
      </c>
      <c r="L919" s="50"/>
    </row>
    <row r="920" spans="1:12">
      <c r="A920" s="50" t="str">
        <f>"      - The maximum spend per head across Scotland has moved from £"&amp;ROUND($L$909,0)&amp;" to £"&amp;ROUND($Q$909,0)</f>
        <v xml:space="preserve">      - The maximum spend per head across Scotland has moved from £50 to £55</v>
      </c>
      <c r="L920" s="50"/>
    </row>
    <row r="921" spans="1:12">
      <c r="A921" s="16"/>
    </row>
    <row r="922" spans="1:12">
      <c r="A922" s="88" t="str">
        <f>"Figure " &amp; $I$922 &amp;" - " &amp; "Addiction services per head spend across Scotland"</f>
        <v>Figure 38 - Addiction services per head spend across Scotland</v>
      </c>
      <c r="I922" s="156">
        <f>$I$897+1</f>
        <v>38</v>
      </c>
    </row>
    <row r="927" spans="1:12" ht="13.5" customHeight="1"/>
    <row r="944" spans="1:1">
      <c r="A944" s="50"/>
    </row>
    <row r="945" spans="1:1">
      <c r="A945" s="50" t="str">
        <f>"- The average spend nationally in 2008/09 was £"&amp;ROUND('Per Capita Data - Other needs'!$D$39,0) &amp; " (represented by the horizontal line)"</f>
        <v>- The average spend nationally in 2008/09 was £21 (represented by the horizontal line)</v>
      </c>
    </row>
    <row r="946" spans="1:1">
      <c r="A946" t="str">
        <f>"- The range of spend per head in 2008/09 was £"&amp;ROUND('Per Capita Data - Other needs'!$D$37,0)&amp;" to £"&amp;ROUND('Per Capita Data - Other needs'!$D$38,0)</f>
        <v>- The range of spend per head in 2008/09 was £3 to £62</v>
      </c>
    </row>
  </sheetData>
  <sheetProtection selectLockedCells="1"/>
  <mergeCells count="191">
    <mergeCell ref="J2:M7"/>
    <mergeCell ref="A339:H339"/>
    <mergeCell ref="A340:H340"/>
    <mergeCell ref="A341:H341"/>
    <mergeCell ref="A336:H336"/>
    <mergeCell ref="A337:H337"/>
    <mergeCell ref="A338:H338"/>
    <mergeCell ref="A364:B364"/>
    <mergeCell ref="A365:B365"/>
    <mergeCell ref="A344:H344"/>
    <mergeCell ref="A348:B348"/>
    <mergeCell ref="A346:H346"/>
    <mergeCell ref="A137:H137"/>
    <mergeCell ref="A185:H185"/>
    <mergeCell ref="J119:K119"/>
    <mergeCell ref="J120:K120"/>
    <mergeCell ref="A110:H110"/>
    <mergeCell ref="A115:H115"/>
    <mergeCell ref="K210:O210"/>
    <mergeCell ref="K216:O216"/>
    <mergeCell ref="A227:H227"/>
    <mergeCell ref="A134:H134"/>
    <mergeCell ref="A113:H113"/>
    <mergeCell ref="A50:B50"/>
    <mergeCell ref="A251:H251"/>
    <mergeCell ref="A528:H528"/>
    <mergeCell ref="A387:H387"/>
    <mergeCell ref="A407:H407"/>
    <mergeCell ref="A431:H431"/>
    <mergeCell ref="A456:H456"/>
    <mergeCell ref="A367:B367"/>
    <mergeCell ref="A374:B374"/>
    <mergeCell ref="A375:B375"/>
    <mergeCell ref="A368:B368"/>
    <mergeCell ref="A369:B369"/>
    <mergeCell ref="A370:B370"/>
    <mergeCell ref="A371:B371"/>
    <mergeCell ref="A380:B380"/>
    <mergeCell ref="A381:B381"/>
    <mergeCell ref="A376:B376"/>
    <mergeCell ref="A377:B377"/>
    <mergeCell ref="A378:B378"/>
    <mergeCell ref="A379:B379"/>
    <mergeCell ref="A372:B372"/>
    <mergeCell ref="A373:B373"/>
    <mergeCell ref="A343:H343"/>
    <mergeCell ref="A64:H64"/>
    <mergeCell ref="A51:B51"/>
    <mergeCell ref="A61:B61"/>
    <mergeCell ref="A62:B62"/>
    <mergeCell ref="A65:H65"/>
    <mergeCell ref="A505:H505"/>
    <mergeCell ref="A478:H478"/>
    <mergeCell ref="A210:H210"/>
    <mergeCell ref="A354:B354"/>
    <mergeCell ref="A355:B355"/>
    <mergeCell ref="A358:B358"/>
    <mergeCell ref="A359:B359"/>
    <mergeCell ref="A360:B360"/>
    <mergeCell ref="A361:B361"/>
    <mergeCell ref="A362:B362"/>
    <mergeCell ref="A342:H342"/>
    <mergeCell ref="A310:H310"/>
    <mergeCell ref="A366:B366"/>
    <mergeCell ref="A252:H252"/>
    <mergeCell ref="A309:H309"/>
    <mergeCell ref="A306:H306"/>
    <mergeCell ref="A308:H308"/>
    <mergeCell ref="A349:B349"/>
    <mergeCell ref="A253:H253"/>
    <mergeCell ref="A66:H66"/>
    <mergeCell ref="A63:B63"/>
    <mergeCell ref="A133:H133"/>
    <mergeCell ref="A16:H16"/>
    <mergeCell ref="A21:H21"/>
    <mergeCell ref="L55:Q55"/>
    <mergeCell ref="J61:K61"/>
    <mergeCell ref="J62:K62"/>
    <mergeCell ref="J63:K63"/>
    <mergeCell ref="J57:K57"/>
    <mergeCell ref="A29:B29"/>
    <mergeCell ref="A43:B43"/>
    <mergeCell ref="A34:H34"/>
    <mergeCell ref="C38:H38"/>
    <mergeCell ref="C30:H30"/>
    <mergeCell ref="A41:B41"/>
    <mergeCell ref="A44:B44"/>
    <mergeCell ref="A48:B48"/>
    <mergeCell ref="A49:B49"/>
    <mergeCell ref="A47:B47"/>
    <mergeCell ref="J78:K78"/>
    <mergeCell ref="J79:K79"/>
    <mergeCell ref="J58:K58"/>
    <mergeCell ref="J59:K59"/>
    <mergeCell ref="J60:K60"/>
    <mergeCell ref="A22:H22"/>
    <mergeCell ref="A28:B28"/>
    <mergeCell ref="A24:H24"/>
    <mergeCell ref="A30:B30"/>
    <mergeCell ref="A42:B42"/>
    <mergeCell ref="A32:H32"/>
    <mergeCell ref="A36:H36"/>
    <mergeCell ref="A40:B40"/>
    <mergeCell ref="A53:H53"/>
    <mergeCell ref="A59:B59"/>
    <mergeCell ref="A60:B60"/>
    <mergeCell ref="C56:E56"/>
    <mergeCell ref="J756:K756"/>
    <mergeCell ref="A823:H823"/>
    <mergeCell ref="J142:K142"/>
    <mergeCell ref="J143:K143"/>
    <mergeCell ref="A303:H303"/>
    <mergeCell ref="A274:H274"/>
    <mergeCell ref="A272:H272"/>
    <mergeCell ref="A801:H801"/>
    <mergeCell ref="A273:H273"/>
    <mergeCell ref="J412:K412"/>
    <mergeCell ref="J191:K191"/>
    <mergeCell ref="J192:K192"/>
    <mergeCell ref="A180:H180"/>
    <mergeCell ref="A202:H202"/>
    <mergeCell ref="A225:H225"/>
    <mergeCell ref="A307:H307"/>
    <mergeCell ref="A250:H250"/>
    <mergeCell ref="A304:H304"/>
    <mergeCell ref="A305:H305"/>
    <mergeCell ref="A226:H226"/>
    <mergeCell ref="A207:H207"/>
    <mergeCell ref="A350:B350"/>
    <mergeCell ref="A351:B351"/>
    <mergeCell ref="A352:B352"/>
    <mergeCell ref="A875:H875"/>
    <mergeCell ref="A428:H428"/>
    <mergeCell ref="A799:H799"/>
    <mergeCell ref="A873:H873"/>
    <mergeCell ref="A721:H721"/>
    <mergeCell ref="A720:H720"/>
    <mergeCell ref="A696:H696"/>
    <mergeCell ref="A663:H663"/>
    <mergeCell ref="A719:H719"/>
    <mergeCell ref="A668:H668"/>
    <mergeCell ref="A547:H547"/>
    <mergeCell ref="A548:H548"/>
    <mergeCell ref="A527:H527"/>
    <mergeCell ref="A571:H571"/>
    <mergeCell ref="A638:H638"/>
    <mergeCell ref="A477:H477"/>
    <mergeCell ref="A774:H774"/>
    <mergeCell ref="A573:H573"/>
    <mergeCell ref="A592:H592"/>
    <mergeCell ref="A593:H593"/>
    <mergeCell ref="A597:H597"/>
    <mergeCell ref="A617:H617"/>
    <mergeCell ref="A748:H748"/>
    <mergeCell ref="A481:H481"/>
    <mergeCell ref="A772:H772"/>
    <mergeCell ref="A771:H771"/>
    <mergeCell ref="A639:H639"/>
    <mergeCell ref="A664:H664"/>
    <mergeCell ref="A665:H665"/>
    <mergeCell ref="A726:H726"/>
    <mergeCell ref="A640:H640"/>
    <mergeCell ref="A641:H641"/>
    <mergeCell ref="A724:H724"/>
    <mergeCell ref="A722:H722"/>
    <mergeCell ref="A691:H691"/>
    <mergeCell ref="A693:H693"/>
    <mergeCell ref="A692:H692"/>
    <mergeCell ref="A690:H690"/>
    <mergeCell ref="A666:H666"/>
    <mergeCell ref="J755:K755"/>
    <mergeCell ref="J730:K730"/>
    <mergeCell ref="J731:K731"/>
    <mergeCell ref="J437:K437"/>
    <mergeCell ref="A595:H595"/>
    <mergeCell ref="J436:K436"/>
    <mergeCell ref="A570:H570"/>
    <mergeCell ref="A546:H546"/>
    <mergeCell ref="A353:B353"/>
    <mergeCell ref="A427:H427"/>
    <mergeCell ref="A356:B356"/>
    <mergeCell ref="A357:B357"/>
    <mergeCell ref="A529:H529"/>
    <mergeCell ref="A619:H619"/>
    <mergeCell ref="A526:H526"/>
    <mergeCell ref="A363:B363"/>
    <mergeCell ref="A620:H620"/>
    <mergeCell ref="A618:H618"/>
    <mergeCell ref="A545:H545"/>
    <mergeCell ref="A594:H594"/>
    <mergeCell ref="J411:K411"/>
  </mergeCells>
  <phoneticPr fontId="5" type="noConversion"/>
  <conditionalFormatting sqref="A349:H380">
    <cfRule type="expression" dxfId="4" priority="1" stopIfTrue="1">
      <formula>$A349=$C$5</formula>
    </cfRule>
  </conditionalFormatting>
  <conditionalFormatting sqref="E67 E58:E63 H63 H67">
    <cfRule type="cellIs" dxfId="3" priority="2" stopIfTrue="1" operator="greaterThan">
      <formula>0</formula>
    </cfRule>
    <cfRule type="cellIs" dxfId="2" priority="3" stopIfTrue="1" operator="lessThan">
      <formula>0</formula>
    </cfRule>
  </conditionalFormatting>
  <conditionalFormatting sqref="I1:I1048576">
    <cfRule type="cellIs" dxfId="1" priority="4" stopIfTrue="1" operator="between">
      <formula>1</formula>
      <formula>100</formula>
    </cfRule>
  </conditionalFormatting>
  <dataValidations disablePrompts="1" count="1">
    <dataValidation type="list" allowBlank="1" showInputMessage="1" showErrorMessage="1" sqref="D5:E5">
      <formula1>$S$1:$AX$1</formula1>
    </dataValidation>
  </dataValidations>
  <printOptions horizontalCentered="1"/>
  <pageMargins left="0.74803149606299213" right="0.74803149606299213" top="0.51" bottom="0.46" header="0.28999999999999998" footer="0.21"/>
  <pageSetup paperSize="9" fitToHeight="0" orientation="portrait" r:id="rId1"/>
  <headerFooter alignWithMargins="0">
    <oddHeader>&amp;R&amp;"Arial,Bold Italic"Expenditure and Activity Data</oddHeader>
    <oddFooter>&amp;L&amp;"Arial,Italic"Last updated: 26 July 2010 (Printed on: &amp;D)&amp;R&amp;"Arial,Bold Italic"Page &amp;P of &amp;N</oddFooter>
  </headerFooter>
  <rowBreaks count="22" manualBreakCount="22">
    <brk id="21" max="7" man="1"/>
    <brk id="67" max="7" man="1"/>
    <brk id="112" max="7" man="1"/>
    <brk id="159" max="7" man="1"/>
    <brk id="206" max="7" man="1"/>
    <brk id="252" max="7" man="1"/>
    <brk id="273" max="7" man="1"/>
    <brk id="309" max="7" man="1"/>
    <brk id="343" max="7" man="1"/>
    <brk id="386" max="7" man="1"/>
    <brk id="430" max="7" man="1"/>
    <brk id="480" max="7" man="1"/>
    <brk id="528" max="7" man="1"/>
    <brk id="572" max="7" man="1"/>
    <brk id="619" max="7" man="1"/>
    <brk id="665" max="7" man="1"/>
    <brk id="695" max="7" man="1"/>
    <brk id="723" max="7" man="1"/>
    <brk id="798" max="7" man="1"/>
    <brk id="847" max="7" man="1"/>
    <brk id="872" max="7" man="1"/>
    <brk id="921"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A77"/>
  <sheetViews>
    <sheetView topLeftCell="A40" zoomScale="85" zoomScaleNormal="85" workbookViewId="0">
      <selection activeCell="B3" sqref="B3"/>
    </sheetView>
  </sheetViews>
  <sheetFormatPr defaultRowHeight="12.75"/>
  <cols>
    <col min="1" max="1" width="23.28515625" customWidth="1"/>
    <col min="4" max="4" width="10.7109375" customWidth="1"/>
    <col min="7" max="7" width="12.5703125" customWidth="1"/>
    <col min="8" max="9" width="10" customWidth="1"/>
    <col min="10" max="10" width="11" customWidth="1"/>
    <col min="15" max="15" width="23.42578125" customWidth="1"/>
    <col min="21" max="21" width="12.140625" customWidth="1"/>
    <col min="22" max="22" width="10.5703125" customWidth="1"/>
    <col min="24" max="24" width="10.85546875" customWidth="1"/>
  </cols>
  <sheetData>
    <row r="1" spans="1:27">
      <c r="B1" s="762" t="s">
        <v>373</v>
      </c>
      <c r="C1" s="762"/>
      <c r="D1" s="762"/>
      <c r="E1" s="762"/>
      <c r="F1" s="762"/>
      <c r="G1" s="762"/>
      <c r="H1" s="762"/>
      <c r="I1" s="762"/>
      <c r="J1" s="762"/>
      <c r="K1" s="762"/>
      <c r="L1" s="762"/>
      <c r="M1" s="762"/>
      <c r="O1" s="762" t="s">
        <v>371</v>
      </c>
      <c r="P1" s="762"/>
      <c r="Q1" s="762"/>
      <c r="R1" s="762"/>
      <c r="S1" s="762"/>
      <c r="T1" s="762"/>
      <c r="U1" s="762"/>
      <c r="V1" s="762"/>
      <c r="W1" s="762"/>
      <c r="X1" s="762"/>
      <c r="Y1" s="762"/>
      <c r="Z1" s="762"/>
    </row>
    <row r="2" spans="1:27" ht="76.5">
      <c r="A2" s="21" t="s">
        <v>26</v>
      </c>
      <c r="B2" s="10" t="s">
        <v>9</v>
      </c>
      <c r="C2" s="9" t="s">
        <v>10</v>
      </c>
      <c r="D2" s="10" t="s">
        <v>11</v>
      </c>
      <c r="E2" s="10" t="s">
        <v>12</v>
      </c>
      <c r="F2" s="9" t="s">
        <v>14</v>
      </c>
      <c r="G2" s="10" t="s">
        <v>15</v>
      </c>
      <c r="H2" s="10" t="s">
        <v>16</v>
      </c>
      <c r="I2" s="10" t="s">
        <v>17</v>
      </c>
      <c r="J2" s="10" t="s">
        <v>351</v>
      </c>
      <c r="K2" s="9" t="s">
        <v>19</v>
      </c>
      <c r="L2" s="9" t="s">
        <v>20</v>
      </c>
      <c r="M2" s="9" t="s">
        <v>21</v>
      </c>
      <c r="O2" s="21" t="s">
        <v>26</v>
      </c>
      <c r="P2" s="10" t="s">
        <v>9</v>
      </c>
      <c r="Q2" s="9" t="s">
        <v>10</v>
      </c>
      <c r="R2" s="10" t="s">
        <v>11</v>
      </c>
      <c r="S2" s="10" t="s">
        <v>12</v>
      </c>
      <c r="T2" s="9" t="s">
        <v>14</v>
      </c>
      <c r="U2" s="10" t="s">
        <v>15</v>
      </c>
      <c r="V2" s="10" t="s">
        <v>16</v>
      </c>
      <c r="W2" s="10" t="s">
        <v>17</v>
      </c>
      <c r="X2" s="10" t="s">
        <v>351</v>
      </c>
      <c r="Y2" s="9" t="s">
        <v>19</v>
      </c>
      <c r="Z2" s="9" t="s">
        <v>20</v>
      </c>
      <c r="AA2" s="9" t="s">
        <v>21</v>
      </c>
    </row>
    <row r="3" spans="1:27">
      <c r="A3" s="7" t="s">
        <v>31</v>
      </c>
      <c r="B3" s="425">
        <f>B45*$K$39</f>
        <v>164720</v>
      </c>
      <c r="C3" s="280">
        <f t="shared" ref="C3:M3" si="0">C45*$K$39</f>
        <v>737</v>
      </c>
      <c r="D3" s="425">
        <f t="shared" si="0"/>
        <v>116</v>
      </c>
      <c r="E3" s="425">
        <f t="shared" si="0"/>
        <v>35599</v>
      </c>
      <c r="F3" s="280">
        <f t="shared" si="0"/>
        <v>70411</v>
      </c>
      <c r="G3" s="425">
        <f t="shared" si="0"/>
        <v>11409</v>
      </c>
      <c r="H3" s="425">
        <f t="shared" si="0"/>
        <v>30479</v>
      </c>
      <c r="I3" s="425">
        <f t="shared" si="0"/>
        <v>8623</v>
      </c>
      <c r="J3" s="425">
        <f t="shared" si="0"/>
        <v>2345</v>
      </c>
      <c r="K3" s="504"/>
      <c r="L3" s="504"/>
      <c r="M3" s="280">
        <f t="shared" si="0"/>
        <v>5001</v>
      </c>
      <c r="N3" s="233"/>
      <c r="O3" s="7" t="s">
        <v>31</v>
      </c>
      <c r="P3" s="425">
        <f>(B3*1000)/SUM('Population Figures'!$AC5:$AE5)</f>
        <v>732.18651375738989</v>
      </c>
      <c r="Q3" s="280">
        <f>(C3/SUM('Population Figures'!AC5:AE5))*1000</f>
        <v>3.2759923545361604</v>
      </c>
      <c r="R3" s="425">
        <f>(D3/'Population Figures'!AC5)*1000</f>
        <v>3.1134253046325622</v>
      </c>
      <c r="S3" s="425">
        <f>(E3/'Population Figures'!AC5)*1000</f>
        <v>955.47265016909125</v>
      </c>
      <c r="T3" s="280">
        <f>(F3/'Population Figures'!AE5)*1000</f>
        <v>2122.9873967315925</v>
      </c>
      <c r="U3" s="425">
        <f>(G3/'Population Figures'!AD5)*1000</f>
        <v>73.822680625833087</v>
      </c>
      <c r="V3" s="425">
        <f>(H3/'Population Figures'!AD5)*1000</f>
        <v>197.21636276577848</v>
      </c>
      <c r="W3" s="425">
        <f>(I3/'Population Figures'!AD5)*1000</f>
        <v>55.795685426992613</v>
      </c>
      <c r="X3" s="500">
        <f>(J3/'Population Figures'!AD5)*1000</f>
        <v>15.173475858320501</v>
      </c>
      <c r="Y3" s="504"/>
      <c r="Z3" s="504"/>
      <c r="AA3" s="501">
        <f>(M3/'Population Figures'!AD5)*1000</f>
        <v>32.35929755542039</v>
      </c>
    </row>
    <row r="4" spans="1:27">
      <c r="A4" s="7" t="s">
        <v>32</v>
      </c>
      <c r="B4" s="425">
        <f t="shared" ref="B4:M4" si="1">B46*$K$39</f>
        <v>142313</v>
      </c>
      <c r="C4" s="280">
        <f t="shared" si="1"/>
        <v>855</v>
      </c>
      <c r="D4" s="425">
        <f t="shared" si="1"/>
        <v>102</v>
      </c>
      <c r="E4" s="425">
        <f t="shared" si="1"/>
        <v>22848</v>
      </c>
      <c r="F4" s="280">
        <f t="shared" si="1"/>
        <v>68926</v>
      </c>
      <c r="G4" s="425">
        <f t="shared" si="1"/>
        <v>856</v>
      </c>
      <c r="H4" s="425">
        <f t="shared" si="1"/>
        <v>39163</v>
      </c>
      <c r="I4" s="425">
        <f t="shared" si="1"/>
        <v>4631</v>
      </c>
      <c r="J4" s="425">
        <f t="shared" si="1"/>
        <v>2121</v>
      </c>
      <c r="K4" s="504"/>
      <c r="L4" s="504"/>
      <c r="M4" s="280">
        <f t="shared" si="1"/>
        <v>2811</v>
      </c>
      <c r="N4" s="233"/>
      <c r="O4" s="7" t="s">
        <v>32</v>
      </c>
      <c r="P4" s="425">
        <f>(B4*1000)/SUM('Population Figures'!$AC6:$AE6)</f>
        <v>556.91085544337477</v>
      </c>
      <c r="Q4" s="280">
        <f>(C4/SUM('Population Figures'!Z6:AB6))*1000</f>
        <v>3.3707865168539328</v>
      </c>
      <c r="R4" s="425">
        <f>(D4/'Population Figures'!AC6)*1000</f>
        <v>1.8895537318686204</v>
      </c>
      <c r="S4" s="425">
        <f>(E4/'Population Figures'!AC6)*1000</f>
        <v>423.26003593857098</v>
      </c>
      <c r="T4" s="280">
        <f>(F4/'Population Figures'!AE6)*1000</f>
        <v>1605.8057451715863</v>
      </c>
      <c r="U4" s="425">
        <f>(G4/'Population Figures'!AD6)*1000</f>
        <v>5.3960009077384701</v>
      </c>
      <c r="V4" s="425">
        <f>(H4/'Population Figures'!AD6)*1000</f>
        <v>246.87334526841323</v>
      </c>
      <c r="W4" s="425">
        <f>(I4/'Population Figures'!AD6)*1000</f>
        <v>29.192617060440256</v>
      </c>
      <c r="X4" s="500">
        <f>(J4/'Population Figures'!AD6)*1000</f>
        <v>13.370231221160392</v>
      </c>
      <c r="Y4" s="504"/>
      <c r="Z4" s="504"/>
      <c r="AA4" s="501">
        <f>(M4/'Population Figures'!AD6)*1000</f>
        <v>17.719811392117805</v>
      </c>
    </row>
    <row r="5" spans="1:27">
      <c r="A5" s="7" t="s">
        <v>33</v>
      </c>
      <c r="B5" s="425">
        <f t="shared" ref="B5:M5" si="2">B47*$K$39</f>
        <v>74000</v>
      </c>
      <c r="C5" s="280">
        <f t="shared" si="2"/>
        <v>365</v>
      </c>
      <c r="D5" s="425">
        <f t="shared" si="2"/>
        <v>94</v>
      </c>
      <c r="E5" s="425">
        <f t="shared" si="2"/>
        <v>14471</v>
      </c>
      <c r="F5" s="280">
        <f t="shared" si="2"/>
        <v>38929</v>
      </c>
      <c r="G5" s="425">
        <f t="shared" si="2"/>
        <v>3205</v>
      </c>
      <c r="H5" s="425">
        <f t="shared" si="2"/>
        <v>12075</v>
      </c>
      <c r="I5" s="425">
        <f t="shared" si="2"/>
        <v>2240</v>
      </c>
      <c r="J5" s="425">
        <f t="shared" si="2"/>
        <v>933</v>
      </c>
      <c r="K5" s="504"/>
      <c r="L5" s="504"/>
      <c r="M5" s="280">
        <f t="shared" si="2"/>
        <v>1688</v>
      </c>
      <c r="N5" s="233"/>
      <c r="O5" s="7" t="s">
        <v>33</v>
      </c>
      <c r="P5" s="425">
        <f>(B5*1000)/SUM('Population Figures'!$AC7:$AE7)</f>
        <v>636.77824627828932</v>
      </c>
      <c r="Q5" s="280">
        <f>(C5/SUM('Population Figures'!Z7:AB7))*1000</f>
        <v>3.1411359724612735</v>
      </c>
      <c r="R5" s="425">
        <f>(D5/'Population Figures'!AC7)*1000</f>
        <v>4.1246160596752963</v>
      </c>
      <c r="S5" s="425">
        <f>(E5/'Population Figures'!AC7)*1000</f>
        <v>634.97147871873631</v>
      </c>
      <c r="T5" s="280">
        <f>(F5/'Population Figures'!AE7)*1000</f>
        <v>1606.3794668647356</v>
      </c>
      <c r="U5" s="425">
        <f>(G5/'Population Figures'!AD7)*1000</f>
        <v>46.324400890353544</v>
      </c>
      <c r="V5" s="425">
        <f>(H5/'Population Figures'!AD7)*1000</f>
        <v>174.52952909548176</v>
      </c>
      <c r="W5" s="425">
        <f>(I5/'Population Figures'!AD7)*1000</f>
        <v>32.376492353944442</v>
      </c>
      <c r="X5" s="500">
        <f>(J5/'Population Figures'!AD7)*1000</f>
        <v>13.485387217067036</v>
      </c>
      <c r="Y5" s="504"/>
      <c r="Z5" s="504"/>
      <c r="AA5" s="501">
        <f>(M5/'Population Figures'!AD7)*1000</f>
        <v>24.397999595293847</v>
      </c>
    </row>
    <row r="6" spans="1:27">
      <c r="A6" s="7" t="s">
        <v>34</v>
      </c>
      <c r="B6" s="425">
        <f t="shared" ref="B6:M6" si="3">B48*$K$39</f>
        <v>63760</v>
      </c>
      <c r="C6" s="280">
        <f t="shared" si="3"/>
        <v>120</v>
      </c>
      <c r="D6" s="425">
        <f t="shared" si="3"/>
        <v>48</v>
      </c>
      <c r="E6" s="425">
        <f t="shared" si="3"/>
        <v>10980</v>
      </c>
      <c r="F6" s="280">
        <f t="shared" si="3"/>
        <v>33318</v>
      </c>
      <c r="G6" s="425">
        <f t="shared" si="3"/>
        <v>1638</v>
      </c>
      <c r="H6" s="425">
        <f t="shared" si="3"/>
        <v>14083</v>
      </c>
      <c r="I6" s="425">
        <f t="shared" si="3"/>
        <v>2771</v>
      </c>
      <c r="J6" s="425">
        <f t="shared" si="3"/>
        <v>705</v>
      </c>
      <c r="K6" s="504"/>
      <c r="L6" s="504"/>
      <c r="M6" s="280">
        <f t="shared" si="3"/>
        <v>97</v>
      </c>
      <c r="N6" s="233"/>
      <c r="O6" s="7" t="s">
        <v>34</v>
      </c>
      <c r="P6" s="425">
        <f>(B6*1000)/SUM('Population Figures'!$AC8:$AE8)</f>
        <v>733.71691599539702</v>
      </c>
      <c r="Q6" s="280">
        <f>(C6/SUM('Population Figures'!Z8:AB8))*1000</f>
        <v>1.3493759136399415</v>
      </c>
      <c r="R6" s="425">
        <f>(D6/'Population Figures'!AC8)*1000</f>
        <v>2.9712163416898791</v>
      </c>
      <c r="S6" s="425">
        <f>(E6/'Population Figures'!AC8)*1000</f>
        <v>679.66573816155983</v>
      </c>
      <c r="T6" s="280">
        <f>(F6/'Population Figures'!AE8)*1000</f>
        <v>1653.088563631853</v>
      </c>
      <c r="U6" s="425">
        <f>(G6/'Population Figures'!AD8)*1000</f>
        <v>32.377940304407986</v>
      </c>
      <c r="V6" s="425">
        <f>(H6/'Population Figures'!AD8)*1000</f>
        <v>278.37517295908282</v>
      </c>
      <c r="W6" s="425">
        <f>(I6/'Population Figures'!AD8)*1000</f>
        <v>54.77367068590631</v>
      </c>
      <c r="X6" s="500">
        <f>(J6/'Population Figures'!AD8)*1000</f>
        <v>13.935560387428346</v>
      </c>
      <c r="Y6" s="504"/>
      <c r="Z6" s="504"/>
      <c r="AA6" s="501">
        <f>(M6/'Population Figures'!AD8)*1000</f>
        <v>1.9173749752915596</v>
      </c>
    </row>
    <row r="7" spans="1:27">
      <c r="A7" s="7" t="s">
        <v>35</v>
      </c>
      <c r="B7" s="425">
        <f t="shared" ref="B7:M7" si="4">B49*$K$39</f>
        <v>37241</v>
      </c>
      <c r="C7" s="280">
        <f t="shared" si="4"/>
        <v>415</v>
      </c>
      <c r="D7" s="425">
        <f t="shared" si="4"/>
        <v>44</v>
      </c>
      <c r="E7" s="425">
        <f t="shared" si="4"/>
        <v>8893</v>
      </c>
      <c r="F7" s="280">
        <f t="shared" si="4"/>
        <v>15644</v>
      </c>
      <c r="G7" s="425">
        <f t="shared" si="4"/>
        <v>3187</v>
      </c>
      <c r="H7" s="425">
        <f t="shared" si="4"/>
        <v>4440</v>
      </c>
      <c r="I7" s="425">
        <f t="shared" si="4"/>
        <v>2158</v>
      </c>
      <c r="J7" s="425">
        <f t="shared" si="4"/>
        <v>599</v>
      </c>
      <c r="K7" s="504"/>
      <c r="L7" s="504"/>
      <c r="M7" s="280">
        <f t="shared" si="4"/>
        <v>1861</v>
      </c>
      <c r="N7" s="233"/>
      <c r="O7" s="7" t="s">
        <v>35</v>
      </c>
      <c r="P7" s="425">
        <f>(B7*1000)/SUM('Population Figures'!$AC9:$AE9)</f>
        <v>726.22854914196569</v>
      </c>
      <c r="Q7" s="280">
        <f>(C7/SUM('Population Figures'!Z9:AB9))*1000</f>
        <v>8.0582524271844669</v>
      </c>
      <c r="R7" s="425">
        <f>(D7/'Population Figures'!AC9)*1000</f>
        <v>4.2004773269689739</v>
      </c>
      <c r="S7" s="425">
        <f>(E7/'Population Figures'!AC9)*1000</f>
        <v>848.97374701670651</v>
      </c>
      <c r="T7" s="280">
        <f>(F7/'Population Figures'!AE9)*1000</f>
        <v>1791.7764288168594</v>
      </c>
      <c r="U7" s="425">
        <f>(G7/'Population Figures'!AD9)*1000</f>
        <v>99.363970817484557</v>
      </c>
      <c r="V7" s="425">
        <f>(H7/'Population Figures'!AD9)*1000</f>
        <v>138.42988090041777</v>
      </c>
      <c r="W7" s="425">
        <f>(I7/'Population Figures'!AD9)*1000</f>
        <v>67.281910581779641</v>
      </c>
      <c r="X7" s="500">
        <f>(J7/'Population Figures'!AD9)*1000</f>
        <v>18.675562761114922</v>
      </c>
      <c r="Y7" s="504"/>
      <c r="Z7" s="504"/>
      <c r="AA7" s="501">
        <f>(M7/'Population Figures'!AD9)*1000</f>
        <v>58.022073953981412</v>
      </c>
    </row>
    <row r="8" spans="1:27">
      <c r="A8" s="7" t="s">
        <v>36</v>
      </c>
      <c r="B8" s="425">
        <f t="shared" ref="B8:M8" si="5">B50*$K$39</f>
        <v>115722</v>
      </c>
      <c r="C8" s="280">
        <f t="shared" si="5"/>
        <v>2836</v>
      </c>
      <c r="D8" s="425">
        <f t="shared" si="5"/>
        <v>85</v>
      </c>
      <c r="E8" s="425">
        <f t="shared" si="5"/>
        <v>20072</v>
      </c>
      <c r="F8" s="280">
        <f t="shared" si="5"/>
        <v>53319</v>
      </c>
      <c r="G8" s="425">
        <f t="shared" si="5"/>
        <v>7330</v>
      </c>
      <c r="H8" s="425">
        <f t="shared" si="5"/>
        <v>23259</v>
      </c>
      <c r="I8" s="425">
        <f t="shared" si="5"/>
        <v>5228</v>
      </c>
      <c r="J8" s="425">
        <f t="shared" si="5"/>
        <v>369</v>
      </c>
      <c r="K8" s="504"/>
      <c r="L8" s="504"/>
      <c r="M8" s="280">
        <f t="shared" si="5"/>
        <v>3224</v>
      </c>
      <c r="N8" s="233"/>
      <c r="O8" s="7" t="s">
        <v>36</v>
      </c>
      <c r="P8" s="425">
        <f>(B8*1000)/SUM('Population Figures'!$AC10:$AE10)</f>
        <v>767.23463501955848</v>
      </c>
      <c r="Q8" s="280">
        <f>(C8/SUM('Population Figures'!Z10:AB10))*1000</f>
        <v>18.730599035730798</v>
      </c>
      <c r="R8" s="425">
        <f>(D8/'Population Figures'!AC10)*1000</f>
        <v>3.0083171120155727</v>
      </c>
      <c r="S8" s="425">
        <f>(E8/'Population Figures'!AC10)*1000</f>
        <v>710.38754202795963</v>
      </c>
      <c r="T8" s="280">
        <f>(F8/'Population Figures'!AE10)*1000</f>
        <v>1552.7695264721299</v>
      </c>
      <c r="U8" s="425">
        <f>(G8/'Population Figures'!AD10)*1000</f>
        <v>83.071727279939253</v>
      </c>
      <c r="V8" s="425">
        <f>(H8/'Population Figures'!AD10)*1000</f>
        <v>263.59690379319335</v>
      </c>
      <c r="W8" s="425">
        <f>(I8/'Population Figures'!AD10)*1000</f>
        <v>59.249521175923931</v>
      </c>
      <c r="X8" s="500">
        <f>(J8/'Population Figures'!AD10)*1000</f>
        <v>4.1819191495631083</v>
      </c>
      <c r="Y8" s="504"/>
      <c r="Z8" s="504"/>
      <c r="AA8" s="501">
        <f>(M8/'Population Figures'!AD10)*1000</f>
        <v>36.537960266101521</v>
      </c>
    </row>
    <row r="9" spans="1:27">
      <c r="A9" s="7" t="s">
        <v>37</v>
      </c>
      <c r="B9" s="425">
        <f t="shared" ref="B9:M9" si="6">B51*$K$39</f>
        <v>121784</v>
      </c>
      <c r="C9" s="280">
        <f t="shared" si="6"/>
        <v>865</v>
      </c>
      <c r="D9" s="425">
        <f t="shared" si="6"/>
        <v>303</v>
      </c>
      <c r="E9" s="425">
        <f t="shared" si="6"/>
        <v>32010</v>
      </c>
      <c r="F9" s="280">
        <f t="shared" si="6"/>
        <v>51133</v>
      </c>
      <c r="G9" s="425">
        <f t="shared" si="6"/>
        <v>6962</v>
      </c>
      <c r="H9" s="425">
        <f t="shared" si="6"/>
        <v>19903</v>
      </c>
      <c r="I9" s="425">
        <f t="shared" si="6"/>
        <v>4450</v>
      </c>
      <c r="J9" s="425">
        <f t="shared" si="6"/>
        <v>1298</v>
      </c>
      <c r="K9" s="504"/>
      <c r="L9" s="504"/>
      <c r="M9" s="280">
        <f t="shared" si="6"/>
        <v>4860</v>
      </c>
      <c r="N9" s="233"/>
      <c r="O9" s="7" t="s">
        <v>37</v>
      </c>
      <c r="P9" s="425">
        <f>(B9*1000)/SUM('Population Figures'!$AC11:$AE11)</f>
        <v>823.97834912043299</v>
      </c>
      <c r="Q9" s="280">
        <f>(C9/SUM('Population Figures'!Z11:AB11))*1000</f>
        <v>5.8763586956521738</v>
      </c>
      <c r="R9" s="425">
        <f>(D9/'Population Figures'!AC11)*1000</f>
        <v>11.185351987891764</v>
      </c>
      <c r="S9" s="425">
        <f>(E9/'Population Figures'!AC11)*1000</f>
        <v>1181.660452582229</v>
      </c>
      <c r="T9" s="280">
        <f>(F9/'Population Figures'!AE11)*1000</f>
        <v>2033.6873085948378</v>
      </c>
      <c r="U9" s="425">
        <f>(G9/'Population Figures'!AD11)*1000</f>
        <v>72.84865226854177</v>
      </c>
      <c r="V9" s="425">
        <f>(H9/'Population Figures'!AD11)*1000</f>
        <v>208.2600870584296</v>
      </c>
      <c r="W9" s="425">
        <f>(I9/'Population Figures'!AD11)*1000</f>
        <v>46.563703331659134</v>
      </c>
      <c r="X9" s="500">
        <f>(J9/'Population Figures'!AD11)*1000</f>
        <v>13.58195211786372</v>
      </c>
      <c r="Y9" s="504"/>
      <c r="Z9" s="504"/>
      <c r="AA9" s="501">
        <f>(M9/'Population Figures'!AD11)*1000</f>
        <v>50.853842290306382</v>
      </c>
    </row>
    <row r="10" spans="1:27">
      <c r="A10" s="7" t="s">
        <v>38</v>
      </c>
      <c r="B10" s="425">
        <f t="shared" ref="B10:M10" si="7">B52*$K$39</f>
        <v>89735</v>
      </c>
      <c r="C10" s="280">
        <f t="shared" si="7"/>
        <v>165</v>
      </c>
      <c r="D10" s="425">
        <f t="shared" si="7"/>
        <v>61</v>
      </c>
      <c r="E10" s="425">
        <f t="shared" si="7"/>
        <v>23528</v>
      </c>
      <c r="F10" s="280">
        <f t="shared" si="7"/>
        <v>38804</v>
      </c>
      <c r="G10" s="425">
        <f t="shared" si="7"/>
        <v>5015</v>
      </c>
      <c r="H10" s="425">
        <f t="shared" si="7"/>
        <v>15851</v>
      </c>
      <c r="I10" s="425">
        <f t="shared" si="7"/>
        <v>3476</v>
      </c>
      <c r="J10" s="425">
        <f t="shared" si="7"/>
        <v>544</v>
      </c>
      <c r="K10" s="504"/>
      <c r="L10" s="504"/>
      <c r="M10" s="280">
        <f t="shared" si="7"/>
        <v>2291</v>
      </c>
      <c r="N10" s="233"/>
      <c r="O10" s="7" t="s">
        <v>38</v>
      </c>
      <c r="P10" s="425">
        <f>(B10*1000)/SUM('Population Figures'!$AC12:$AE12)</f>
        <v>731.21740547588001</v>
      </c>
      <c r="Q10" s="280">
        <f>(C10/SUM('Population Figures'!Z12:AB12))*1000</f>
        <v>1.3448528812454152</v>
      </c>
      <c r="R10" s="425">
        <f>(D10/'Population Figures'!AC12)*1000</f>
        <v>2.4891863217171304</v>
      </c>
      <c r="S10" s="425">
        <f>(E10/'Population Figures'!AC12)*1000</f>
        <v>960.09140618624008</v>
      </c>
      <c r="T10" s="280">
        <f>(F10/'Population Figures'!AE12)*1000</f>
        <v>1744.6272817192698</v>
      </c>
      <c r="U10" s="425">
        <f>(G10/'Population Figures'!AD12)*1000</f>
        <v>66.011162007055233</v>
      </c>
      <c r="V10" s="425">
        <f>(H10/'Population Figures'!AD12)*1000</f>
        <v>208.64265782130258</v>
      </c>
      <c r="W10" s="425">
        <f>(I10/'Population Figures'!AD12)*1000</f>
        <v>45.753698731111463</v>
      </c>
      <c r="X10" s="500">
        <f>(J10/'Population Figures'!AD12)*1000</f>
        <v>7.1605328278839577</v>
      </c>
      <c r="Y10" s="504"/>
      <c r="Z10" s="504"/>
      <c r="AA10" s="501">
        <f>(M10/'Population Figures'!AD12)*1000</f>
        <v>30.155846890959825</v>
      </c>
    </row>
    <row r="11" spans="1:27">
      <c r="A11" s="7" t="s">
        <v>39</v>
      </c>
      <c r="B11" s="425">
        <f t="shared" ref="B11:M11" si="8">B53*$K$39</f>
        <v>73868</v>
      </c>
      <c r="C11" s="280">
        <f t="shared" si="8"/>
        <v>1253</v>
      </c>
      <c r="D11" s="425">
        <f t="shared" si="8"/>
        <v>3</v>
      </c>
      <c r="E11" s="425">
        <f t="shared" si="8"/>
        <v>10353</v>
      </c>
      <c r="F11" s="280">
        <f t="shared" si="8"/>
        <v>37443</v>
      </c>
      <c r="G11" s="425">
        <f t="shared" si="8"/>
        <v>4407</v>
      </c>
      <c r="H11" s="425">
        <f t="shared" si="8"/>
        <v>15958</v>
      </c>
      <c r="I11" s="425">
        <f t="shared" si="8"/>
        <v>3095</v>
      </c>
      <c r="J11" s="425">
        <f t="shared" si="8"/>
        <v>1006</v>
      </c>
      <c r="K11" s="504"/>
      <c r="L11" s="504"/>
      <c r="M11" s="280">
        <f t="shared" si="8"/>
        <v>350</v>
      </c>
      <c r="N11" s="233"/>
      <c r="O11" s="7" t="s">
        <v>39</v>
      </c>
      <c r="P11" s="425">
        <f>(B11*1000)/SUM('Population Figures'!$AC13:$AE13)</f>
        <v>697.65772572723836</v>
      </c>
      <c r="Q11" s="280">
        <f>(C11/SUM('Population Figures'!Z13:AB13))*1000</f>
        <v>11.933333333333334</v>
      </c>
      <c r="R11" s="425">
        <f>(D11/'Population Figures'!AC13)*1000</f>
        <v>0.14114326040931546</v>
      </c>
      <c r="S11" s="425">
        <f>(E11/'Population Figures'!AC13)*1000</f>
        <v>487.08539167254764</v>
      </c>
      <c r="T11" s="280">
        <f>(F11/'Population Figures'!AE13)*1000</f>
        <v>1744.7809878844362</v>
      </c>
      <c r="U11" s="425">
        <f>(G11/'Population Figures'!AD13)*1000</f>
        <v>69.769650914272148</v>
      </c>
      <c r="V11" s="425">
        <f>(H11/'Population Figures'!AD13)*1000</f>
        <v>252.6399113433072</v>
      </c>
      <c r="W11" s="425">
        <f>(I11/'Population Figures'!AD13)*1000</f>
        <v>48.998654318055884</v>
      </c>
      <c r="X11" s="500">
        <f>(J11/'Population Figures'!AD13)*1000</f>
        <v>15.926541597403626</v>
      </c>
      <c r="Y11" s="504"/>
      <c r="Z11" s="504"/>
      <c r="AA11" s="501">
        <f>(M11/'Population Figures'!AD13)*1000</f>
        <v>5.5410432992954961</v>
      </c>
    </row>
    <row r="12" spans="1:27">
      <c r="A12" s="7" t="s">
        <v>40</v>
      </c>
      <c r="B12" s="425">
        <f t="shared" ref="B12:M12" si="9">B54*$K$39</f>
        <v>62738</v>
      </c>
      <c r="C12" s="280">
        <f t="shared" si="9"/>
        <v>1301</v>
      </c>
      <c r="D12" s="425">
        <f t="shared" si="9"/>
        <v>72</v>
      </c>
      <c r="E12" s="425">
        <f t="shared" si="9"/>
        <v>12420</v>
      </c>
      <c r="F12" s="280">
        <f t="shared" si="9"/>
        <v>26918</v>
      </c>
      <c r="G12" s="425">
        <f t="shared" si="9"/>
        <v>5215</v>
      </c>
      <c r="H12" s="425">
        <f t="shared" si="9"/>
        <v>12551</v>
      </c>
      <c r="I12" s="425">
        <f t="shared" si="9"/>
        <v>2204</v>
      </c>
      <c r="J12" s="425">
        <f t="shared" si="9"/>
        <v>937</v>
      </c>
      <c r="K12" s="504"/>
      <c r="L12" s="504"/>
      <c r="M12" s="280">
        <f t="shared" si="9"/>
        <v>1120</v>
      </c>
      <c r="N12" s="233"/>
      <c r="O12" s="7" t="s">
        <v>40</v>
      </c>
      <c r="P12" s="425">
        <f>(B12*1000)/SUM('Population Figures'!$AC14:$AE14)</f>
        <v>622.09221616261777</v>
      </c>
      <c r="Q12" s="280">
        <f>(C12/SUM('Population Figures'!Z14:AB14))*1000</f>
        <v>13.020416333066454</v>
      </c>
      <c r="R12" s="425">
        <f>(D12/'Population Figures'!AC14)*1000</f>
        <v>3.381869422263974</v>
      </c>
      <c r="S12" s="425">
        <f>(E12/'Population Figures'!AC14)*1000</f>
        <v>583.37247534053552</v>
      </c>
      <c r="T12" s="280">
        <f>(F12/'Population Figures'!AE14)*1000</f>
        <v>1449.9326690008079</v>
      </c>
      <c r="U12" s="425">
        <f>(G12/'Population Figures'!AD14)*1000</f>
        <v>85.498811377981809</v>
      </c>
      <c r="V12" s="425">
        <f>(H12/'Population Figures'!AD14)*1000</f>
        <v>205.77096483318306</v>
      </c>
      <c r="W12" s="425">
        <f>(I12/'Population Figures'!AD14)*1000</f>
        <v>36.134109353225675</v>
      </c>
      <c r="X12" s="500">
        <f>(J12/'Population Figures'!AD14)*1000</f>
        <v>15.361914911058284</v>
      </c>
      <c r="Y12" s="504"/>
      <c r="Z12" s="504"/>
      <c r="AA12" s="501">
        <f>(M12/'Population Figures'!AD14)*1000</f>
        <v>18.362160832855153</v>
      </c>
    </row>
    <row r="13" spans="1:27">
      <c r="A13" s="7" t="s">
        <v>41</v>
      </c>
      <c r="B13" s="425">
        <f t="shared" ref="B13:M13" si="10">B55*$K$39</f>
        <v>55866</v>
      </c>
      <c r="C13" s="280">
        <f t="shared" si="10"/>
        <v>888</v>
      </c>
      <c r="D13" s="425">
        <f t="shared" si="10"/>
        <v>0</v>
      </c>
      <c r="E13" s="425">
        <f t="shared" si="10"/>
        <v>7563</v>
      </c>
      <c r="F13" s="280">
        <f t="shared" si="10"/>
        <v>27582</v>
      </c>
      <c r="G13" s="425">
        <f t="shared" si="10"/>
        <v>3083</v>
      </c>
      <c r="H13" s="425">
        <f t="shared" si="10"/>
        <v>12080</v>
      </c>
      <c r="I13" s="425">
        <f t="shared" si="10"/>
        <v>2346</v>
      </c>
      <c r="J13" s="425">
        <f t="shared" si="10"/>
        <v>931</v>
      </c>
      <c r="K13" s="504"/>
      <c r="L13" s="504"/>
      <c r="M13" s="280">
        <f t="shared" si="10"/>
        <v>1393</v>
      </c>
      <c r="N13" s="233"/>
      <c r="O13" s="7" t="s">
        <v>41</v>
      </c>
      <c r="P13" s="425">
        <f>(B13*1000)/SUM('Population Figures'!$AC15:$AE15)</f>
        <v>613.70976601120515</v>
      </c>
      <c r="Q13" s="280">
        <f>(C13/SUM('Population Figures'!Z15:AB15))*1000</f>
        <v>9.778658738024447</v>
      </c>
      <c r="R13" s="425">
        <f>(D13/'Population Figures'!AC15)*1000</f>
        <v>0</v>
      </c>
      <c r="S13" s="425">
        <f>(E13/'Population Figures'!AC15)*1000</f>
        <v>372.30481441370483</v>
      </c>
      <c r="T13" s="280">
        <f>(F13/'Population Figures'!AE15)*1000</f>
        <v>1631.4917780669584</v>
      </c>
      <c r="U13" s="425">
        <f>(G13/'Population Figures'!AD15)*1000</f>
        <v>57.294183237316481</v>
      </c>
      <c r="V13" s="425">
        <f>(H13/'Population Figures'!AD15)*1000</f>
        <v>224.4935885523137</v>
      </c>
      <c r="W13" s="425">
        <f>(I13/'Population Figures'!AD15)*1000</f>
        <v>43.597844266864897</v>
      </c>
      <c r="X13" s="500">
        <f>(J13/'Population Figures'!AD15)*1000</f>
        <v>17.301616799851331</v>
      </c>
      <c r="Y13" s="504"/>
      <c r="Z13" s="504"/>
      <c r="AA13" s="501">
        <f>(M13/'Population Figures'!AD15)*1000</f>
        <v>25.887381527597103</v>
      </c>
    </row>
    <row r="14" spans="1:27">
      <c r="A14" s="7" t="s">
        <v>140</v>
      </c>
      <c r="B14" s="425">
        <f t="shared" ref="B14:M14" si="11">B56*$K$39</f>
        <v>340435</v>
      </c>
      <c r="C14" s="280">
        <f t="shared" si="11"/>
        <v>1846</v>
      </c>
      <c r="D14" s="425">
        <f t="shared" si="11"/>
        <v>231</v>
      </c>
      <c r="E14" s="425">
        <f t="shared" si="11"/>
        <v>93314</v>
      </c>
      <c r="F14" s="280">
        <f t="shared" si="11"/>
        <v>131299</v>
      </c>
      <c r="G14" s="425">
        <f t="shared" si="11"/>
        <v>19116</v>
      </c>
      <c r="H14" s="425">
        <f t="shared" si="11"/>
        <v>60937</v>
      </c>
      <c r="I14" s="425">
        <f t="shared" si="11"/>
        <v>12768</v>
      </c>
      <c r="J14" s="425">
        <f t="shared" si="11"/>
        <v>7450</v>
      </c>
      <c r="K14" s="504"/>
      <c r="L14" s="504"/>
      <c r="M14" s="280">
        <f t="shared" si="11"/>
        <v>13474</v>
      </c>
      <c r="N14" s="233"/>
      <c r="O14" s="7" t="s">
        <v>140</v>
      </c>
      <c r="P14" s="425">
        <f>(B14*1000)/SUM('Population Figures'!$AC16:$AE16)</f>
        <v>705.36010276810873</v>
      </c>
      <c r="Q14" s="280">
        <f>(C14/SUM('Population Figures'!Z16:AB16))*1000</f>
        <v>3.8624095074695566</v>
      </c>
      <c r="R14" s="425">
        <f>(D14/'Population Figures'!AC16)*1000</f>
        <v>2.7875321290229156</v>
      </c>
      <c r="S14" s="425">
        <f>(E14/'Population Figures'!AC16)*1000</f>
        <v>1126.04230773872</v>
      </c>
      <c r="T14" s="280">
        <f>(F14/'Population Figures'!AE16)*1000</f>
        <v>1852.2034759056539</v>
      </c>
      <c r="U14" s="425">
        <f>(G14/'Population Figures'!AD16)*1000</f>
        <v>58.124013707002192</v>
      </c>
      <c r="V14" s="425">
        <f>(H14/'Population Figures'!AD16)*1000</f>
        <v>185.2847365172417</v>
      </c>
      <c r="W14" s="425">
        <f>(I14/'Population Figures'!AD16)*1000</f>
        <v>38.822316750941823</v>
      </c>
      <c r="X14" s="500">
        <f>(J14/'Population Figures'!AD16)*1000</f>
        <v>22.652432628016648</v>
      </c>
      <c r="Y14" s="504"/>
      <c r="Z14" s="504"/>
      <c r="AA14" s="501">
        <f>(M14/'Population Figures'!AD16)*1000</f>
        <v>40.968976809382056</v>
      </c>
    </row>
    <row r="15" spans="1:27">
      <c r="A15" s="7" t="s">
        <v>42</v>
      </c>
      <c r="B15" s="425">
        <f t="shared" ref="B15:M15" si="12">B57*$K$39</f>
        <v>26220</v>
      </c>
      <c r="C15" s="280">
        <f t="shared" si="12"/>
        <v>507</v>
      </c>
      <c r="D15" s="425">
        <f t="shared" si="12"/>
        <v>34</v>
      </c>
      <c r="E15" s="425">
        <f t="shared" si="12"/>
        <v>3550</v>
      </c>
      <c r="F15" s="280">
        <f t="shared" si="12"/>
        <v>16132</v>
      </c>
      <c r="G15" s="425">
        <f t="shared" si="12"/>
        <v>1405</v>
      </c>
      <c r="H15" s="425">
        <f t="shared" si="12"/>
        <v>3310</v>
      </c>
      <c r="I15" s="425">
        <f t="shared" si="12"/>
        <v>846</v>
      </c>
      <c r="J15" s="425">
        <f t="shared" si="12"/>
        <v>145</v>
      </c>
      <c r="K15" s="504"/>
      <c r="L15" s="504"/>
      <c r="M15" s="280">
        <f t="shared" si="12"/>
        <v>291</v>
      </c>
      <c r="N15" s="233"/>
      <c r="O15" s="7" t="s">
        <v>42</v>
      </c>
      <c r="P15" s="425">
        <f>(B15*1000)/SUM('Population Figures'!$AC17:$AE17)</f>
        <v>951.37880986937591</v>
      </c>
      <c r="Q15" s="280">
        <f>(C15/SUM('Population Figures'!Z17:AB17))*1000</f>
        <v>18.309859154929576</v>
      </c>
      <c r="R15" s="425">
        <f>(D15/'Population Figures'!AC17)*1000</f>
        <v>6.5071770334928232</v>
      </c>
      <c r="S15" s="425">
        <f>(E15/'Population Figures'!AC17)*1000</f>
        <v>679.42583732057415</v>
      </c>
      <c r="T15" s="280">
        <f>(F15/'Population Figures'!AE17)*1000</f>
        <v>2612.0466321243521</v>
      </c>
      <c r="U15" s="425">
        <f>(G15/'Population Figures'!AD17)*1000</f>
        <v>86.948449780308195</v>
      </c>
      <c r="V15" s="425">
        <f>(H15/'Population Figures'!AD17)*1000</f>
        <v>204.8394083792314</v>
      </c>
      <c r="W15" s="425">
        <f>(I15/'Population Figures'!AD17)*1000</f>
        <v>52.354724921096597</v>
      </c>
      <c r="X15" s="500">
        <f>(J15/'Population Figures'!AD17)*1000</f>
        <v>8.9733275573983544</v>
      </c>
      <c r="Y15" s="504"/>
      <c r="Z15" s="504"/>
      <c r="AA15" s="501">
        <f>(M15/'Population Figures'!AD17)*1000</f>
        <v>18.008540132433939</v>
      </c>
    </row>
    <row r="16" spans="1:27">
      <c r="A16" s="7" t="s">
        <v>43</v>
      </c>
      <c r="B16" s="425">
        <f t="shared" ref="B16:M16" si="13">B58*$K$39</f>
        <v>104629</v>
      </c>
      <c r="C16" s="280">
        <f t="shared" si="13"/>
        <v>560</v>
      </c>
      <c r="D16" s="425">
        <f t="shared" si="13"/>
        <v>88</v>
      </c>
      <c r="E16" s="425">
        <f t="shared" si="13"/>
        <v>23227</v>
      </c>
      <c r="F16" s="280">
        <f t="shared" si="13"/>
        <v>49020</v>
      </c>
      <c r="G16" s="425">
        <f t="shared" si="13"/>
        <v>7464</v>
      </c>
      <c r="H16" s="425">
        <f t="shared" si="13"/>
        <v>15257</v>
      </c>
      <c r="I16" s="425">
        <f t="shared" si="13"/>
        <v>5044</v>
      </c>
      <c r="J16" s="425">
        <f t="shared" si="13"/>
        <v>389</v>
      </c>
      <c r="K16" s="504"/>
      <c r="L16" s="504"/>
      <c r="M16" s="280">
        <f t="shared" si="13"/>
        <v>3580</v>
      </c>
      <c r="N16" s="233"/>
      <c r="O16" s="7" t="s">
        <v>43</v>
      </c>
      <c r="P16" s="425">
        <f>(B16*1000)/SUM('Population Figures'!$AC18:$AE18)</f>
        <v>667.27678571428567</v>
      </c>
      <c r="Q16" s="280">
        <f>(C16/SUM('Population Figures'!Z18:AB18))*1000</f>
        <v>3.5840000000000001</v>
      </c>
      <c r="R16" s="425">
        <f>(D16/'Population Figures'!AC18)*1000</f>
        <v>2.7376804380288702</v>
      </c>
      <c r="S16" s="425">
        <f>(E16/'Population Figures'!AC18)*1000</f>
        <v>722.59208561473361</v>
      </c>
      <c r="T16" s="280">
        <f>(F16/'Population Figures'!AE18)*1000</f>
        <v>1852.607709750567</v>
      </c>
      <c r="U16" s="425">
        <f>(G16/'Population Figures'!AD18)*1000</f>
        <v>76.011242820481485</v>
      </c>
      <c r="V16" s="425">
        <f>(H16/'Population Figures'!AD18)*1000</f>
        <v>155.37292761415944</v>
      </c>
      <c r="W16" s="425">
        <f>(I16/'Population Figures'!AD18)*1000</f>
        <v>51.366654446209623</v>
      </c>
      <c r="X16" s="500">
        <f>(J16/'Population Figures'!AD18)*1000</f>
        <v>3.9614648254511384</v>
      </c>
      <c r="Y16" s="504"/>
      <c r="Z16" s="504"/>
      <c r="AA16" s="501">
        <f>(M16/'Population Figures'!AD18)*1000</f>
        <v>36.457696851195571</v>
      </c>
    </row>
    <row r="17" spans="1:27">
      <c r="A17" s="7" t="s">
        <v>44</v>
      </c>
      <c r="B17" s="425">
        <f t="shared" ref="B17:M17" si="14">B59*$K$39</f>
        <v>251184</v>
      </c>
      <c r="C17" s="280">
        <f t="shared" si="14"/>
        <v>1080</v>
      </c>
      <c r="D17" s="425">
        <f t="shared" si="14"/>
        <v>199</v>
      </c>
      <c r="E17" s="425">
        <f t="shared" si="14"/>
        <v>44662</v>
      </c>
      <c r="F17" s="280">
        <f t="shared" si="14"/>
        <v>107770</v>
      </c>
      <c r="G17" s="425">
        <f t="shared" si="14"/>
        <v>21531</v>
      </c>
      <c r="H17" s="425">
        <f t="shared" si="14"/>
        <v>58116</v>
      </c>
      <c r="I17" s="425">
        <f t="shared" si="14"/>
        <v>9159</v>
      </c>
      <c r="J17" s="425">
        <f t="shared" si="14"/>
        <v>1553</v>
      </c>
      <c r="K17" s="504"/>
      <c r="L17" s="504"/>
      <c r="M17" s="280">
        <f t="shared" si="14"/>
        <v>7114</v>
      </c>
      <c r="N17" s="233"/>
      <c r="O17" s="7" t="s">
        <v>44</v>
      </c>
      <c r="P17" s="425">
        <f>(B17*1000)/SUM('Population Figures'!$AC19:$AE19)</f>
        <v>685.88280268690949</v>
      </c>
      <c r="Q17" s="280">
        <f>(C17/SUM('Population Figures'!Z19:AB19))*1000</f>
        <v>2.9564741308513551</v>
      </c>
      <c r="R17" s="425">
        <f>(D17/'Population Figures'!AC19)*1000</f>
        <v>2.7224471927328446</v>
      </c>
      <c r="S17" s="425">
        <f>(E17/'Population Figures'!AC19)*1000</f>
        <v>611.0047061398709</v>
      </c>
      <c r="T17" s="280">
        <f>(F17/'Population Figures'!AE19)*1000</f>
        <v>1604.8426727026344</v>
      </c>
      <c r="U17" s="425">
        <f>(G17/'Population Figures'!AD19)*1000</f>
        <v>95.28213797345677</v>
      </c>
      <c r="V17" s="425">
        <f>(H17/'Population Figures'!AD19)*1000</f>
        <v>257.18344389324295</v>
      </c>
      <c r="W17" s="425">
        <f>(I17/'Population Figures'!AD19)*1000</f>
        <v>40.531749649291278</v>
      </c>
      <c r="X17" s="500">
        <f>(J17/'Population Figures'!AD19)*1000</f>
        <v>6.8725632935199652</v>
      </c>
      <c r="Y17" s="504"/>
      <c r="Z17" s="504"/>
      <c r="AA17" s="501">
        <f>(M17/'Population Figures'!AD19)*1000</f>
        <v>31.481915821056688</v>
      </c>
    </row>
    <row r="18" spans="1:27">
      <c r="A18" s="7" t="s">
        <v>45</v>
      </c>
      <c r="B18" s="425">
        <f t="shared" ref="B18:M18" si="15">B60*$K$39</f>
        <v>542266</v>
      </c>
      <c r="C18" s="280">
        <f t="shared" si="15"/>
        <v>844</v>
      </c>
      <c r="D18" s="425">
        <f t="shared" si="15"/>
        <v>210</v>
      </c>
      <c r="E18" s="425">
        <f t="shared" si="15"/>
        <v>151167</v>
      </c>
      <c r="F18" s="280">
        <f t="shared" si="15"/>
        <v>219798</v>
      </c>
      <c r="G18" s="425">
        <f t="shared" si="15"/>
        <v>25899</v>
      </c>
      <c r="H18" s="425">
        <f t="shared" si="15"/>
        <v>78508</v>
      </c>
      <c r="I18" s="425">
        <f t="shared" si="15"/>
        <v>23783</v>
      </c>
      <c r="J18" s="425">
        <f t="shared" si="15"/>
        <v>24240</v>
      </c>
      <c r="K18" s="504"/>
      <c r="L18" s="504"/>
      <c r="M18" s="280">
        <f t="shared" si="15"/>
        <v>17817</v>
      </c>
      <c r="N18" s="233"/>
      <c r="O18" s="7" t="s">
        <v>45</v>
      </c>
      <c r="P18" s="425">
        <f>(B18*1000)/SUM('Population Figures'!$AC20:$AE20)</f>
        <v>911.2489077098877</v>
      </c>
      <c r="Q18" s="280">
        <f>(C18/SUM('Population Figures'!Z20:AB20))*1000</f>
        <v>1.4231275081779247</v>
      </c>
      <c r="R18" s="425">
        <f>(D18/'Population Figures'!AC20)*1000</f>
        <v>1.9315317966924817</v>
      </c>
      <c r="S18" s="425">
        <f>(E18/'Population Figures'!AC20)*1000</f>
        <v>1390.3993671933922</v>
      </c>
      <c r="T18" s="280">
        <f>(F18/'Population Figures'!AE20)*1000</f>
        <v>2649.5093902938834</v>
      </c>
      <c r="U18" s="425">
        <f>(G18/'Population Figures'!AD20)*1000</f>
        <v>64.20178482895389</v>
      </c>
      <c r="V18" s="425">
        <f>(H18/'Population Figures'!AD20)*1000</f>
        <v>194.61576598909272</v>
      </c>
      <c r="W18" s="425">
        <f>(I18/'Population Figures'!AD20)*1000</f>
        <v>58.95637084779375</v>
      </c>
      <c r="X18" s="500">
        <f>(J18/'Population Figures'!AD20)*1000</f>
        <v>60.089241447694597</v>
      </c>
      <c r="Y18" s="504"/>
      <c r="Z18" s="504"/>
      <c r="AA18" s="501">
        <f>(M18/'Population Figures'!AD20)*1000</f>
        <v>44.167079821517099</v>
      </c>
    </row>
    <row r="19" spans="1:27">
      <c r="A19" s="7" t="s">
        <v>46</v>
      </c>
      <c r="B19" s="425">
        <f t="shared" ref="B19:M19" si="16">B61*$K$39</f>
        <v>170951</v>
      </c>
      <c r="C19" s="280">
        <f t="shared" si="16"/>
        <v>321</v>
      </c>
      <c r="D19" s="425">
        <f t="shared" si="16"/>
        <v>123</v>
      </c>
      <c r="E19" s="425">
        <f t="shared" si="16"/>
        <v>46877</v>
      </c>
      <c r="F19" s="280">
        <f t="shared" si="16"/>
        <v>69427</v>
      </c>
      <c r="G19" s="425">
        <f t="shared" si="16"/>
        <v>9786</v>
      </c>
      <c r="H19" s="425">
        <f t="shared" si="16"/>
        <v>33153</v>
      </c>
      <c r="I19" s="425">
        <f t="shared" si="16"/>
        <v>7078</v>
      </c>
      <c r="J19" s="425">
        <f t="shared" si="16"/>
        <v>736</v>
      </c>
      <c r="K19" s="504"/>
      <c r="L19" s="504"/>
      <c r="M19" s="280">
        <f t="shared" si="16"/>
        <v>3450</v>
      </c>
      <c r="N19" s="233"/>
      <c r="O19" s="7" t="s">
        <v>46</v>
      </c>
      <c r="P19" s="425">
        <f>(B19*1000)/SUM('Population Figures'!$AC21:$AE21)</f>
        <v>733.97879009059295</v>
      </c>
      <c r="Q19" s="280">
        <f>(C19/SUM('Population Figures'!Z21:AB21))*1000</f>
        <v>1.3792807115541614</v>
      </c>
      <c r="R19" s="425">
        <f>(D19/'Population Figures'!AC21)*1000</f>
        <v>2.6496628680984897</v>
      </c>
      <c r="S19" s="425">
        <f>(E19/'Population Figures'!AC21)*1000</f>
        <v>1009.823140389048</v>
      </c>
      <c r="T19" s="280">
        <f>(F19/'Population Figures'!AE21)*1000</f>
        <v>1541.1782987036052</v>
      </c>
      <c r="U19" s="425">
        <f>(G19/'Population Figures'!AD21)*1000</f>
        <v>69.187859248732693</v>
      </c>
      <c r="V19" s="425">
        <f>(H19/'Population Figures'!AD21)*1000</f>
        <v>234.39455320593038</v>
      </c>
      <c r="W19" s="425">
        <f>(I19/'Population Figures'!AD21)*1000</f>
        <v>50.042067010272831</v>
      </c>
      <c r="X19" s="500">
        <f>(J19/'Population Figures'!AD21)*1000</f>
        <v>5.2035831194632394</v>
      </c>
      <c r="Y19" s="504"/>
      <c r="Z19" s="504"/>
      <c r="AA19" s="501">
        <f>(M19/'Population Figures'!AD21)*1000</f>
        <v>24.391795872483932</v>
      </c>
    </row>
    <row r="20" spans="1:27">
      <c r="A20" s="7" t="s">
        <v>47</v>
      </c>
      <c r="B20" s="425">
        <f t="shared" ref="B20:M20" si="17">B62*$K$39</f>
        <v>69585</v>
      </c>
      <c r="C20" s="280">
        <f t="shared" si="17"/>
        <v>904</v>
      </c>
      <c r="D20" s="425">
        <f t="shared" si="17"/>
        <v>18</v>
      </c>
      <c r="E20" s="425">
        <f t="shared" si="17"/>
        <v>12447</v>
      </c>
      <c r="F20" s="280">
        <f t="shared" si="17"/>
        <v>32481</v>
      </c>
      <c r="G20" s="425">
        <f t="shared" si="17"/>
        <v>3714</v>
      </c>
      <c r="H20" s="425">
        <f t="shared" si="17"/>
        <v>11009</v>
      </c>
      <c r="I20" s="425">
        <f t="shared" si="17"/>
        <v>4202</v>
      </c>
      <c r="J20" s="425">
        <f t="shared" si="17"/>
        <v>2748</v>
      </c>
      <c r="K20" s="504"/>
      <c r="L20" s="504"/>
      <c r="M20" s="280">
        <f t="shared" si="17"/>
        <v>2062</v>
      </c>
      <c r="N20" s="233"/>
      <c r="O20" s="7" t="s">
        <v>47</v>
      </c>
      <c r="P20" s="425">
        <f>(B20*1000)/SUM('Population Figures'!$AC22:$AE22)</f>
        <v>862.48140803173033</v>
      </c>
      <c r="Q20" s="280">
        <f>(C20/SUM('Population Figures'!Z22:AB22))*1000</f>
        <v>11.130263481901011</v>
      </c>
      <c r="R20" s="425">
        <f>(D20/'Population Figures'!AC22)*1000</f>
        <v>1.1701228629006044</v>
      </c>
      <c r="S20" s="425">
        <f>(E20/'Population Figures'!AC22)*1000</f>
        <v>809.13995969576797</v>
      </c>
      <c r="T20" s="280">
        <f>(F20/'Population Figures'!AE22)*1000</f>
        <v>2136.7673179396093</v>
      </c>
      <c r="U20" s="425">
        <f>(G20/'Population Figures'!AD22)*1000</f>
        <v>74.137655701053973</v>
      </c>
      <c r="V20" s="425">
        <f>(H20/'Population Figures'!AD22)*1000</f>
        <v>219.75806451612902</v>
      </c>
      <c r="W20" s="425">
        <f>(I20/'Population Figures'!AD22)*1000</f>
        <v>83.878952411370165</v>
      </c>
      <c r="X20" s="500">
        <f>(J20/'Population Figures'!AD22)*1000</f>
        <v>54.854679016288721</v>
      </c>
      <c r="Y20" s="504"/>
      <c r="Z20" s="504"/>
      <c r="AA20" s="501">
        <f>(M20/'Population Figures'!AD22)*1000</f>
        <v>41.160970935803256</v>
      </c>
    </row>
    <row r="21" spans="1:27">
      <c r="A21" s="7" t="s">
        <v>48</v>
      </c>
      <c r="B21" s="425">
        <f t="shared" ref="B21:M21" si="18">B63*$K$39</f>
        <v>58609</v>
      </c>
      <c r="C21" s="280">
        <f t="shared" si="18"/>
        <v>1155</v>
      </c>
      <c r="D21" s="425">
        <f t="shared" si="18"/>
        <v>114</v>
      </c>
      <c r="E21" s="425">
        <f t="shared" si="18"/>
        <v>16027</v>
      </c>
      <c r="F21" s="280">
        <f t="shared" si="18"/>
        <v>24034</v>
      </c>
      <c r="G21" s="425">
        <f t="shared" si="18"/>
        <v>3609</v>
      </c>
      <c r="H21" s="425">
        <f t="shared" si="18"/>
        <v>10094</v>
      </c>
      <c r="I21" s="425">
        <f t="shared" si="18"/>
        <v>1966</v>
      </c>
      <c r="J21" s="425">
        <f t="shared" si="18"/>
        <v>651</v>
      </c>
      <c r="K21" s="504"/>
      <c r="L21" s="504"/>
      <c r="M21" s="280">
        <f t="shared" si="18"/>
        <v>959</v>
      </c>
      <c r="N21" s="233"/>
      <c r="O21" s="7" t="s">
        <v>48</v>
      </c>
      <c r="P21" s="425">
        <f>(B21*1000)/SUM('Population Figures'!$AC23:$AE23)</f>
        <v>695.73836657169988</v>
      </c>
      <c r="Q21" s="280">
        <f>(C21/SUM('Population Figures'!Z23:AB23))*1000</f>
        <v>13.840623127621329</v>
      </c>
      <c r="R21" s="425">
        <f>(D21/'Population Figures'!AC23)*1000</f>
        <v>6.3538067105116482</v>
      </c>
      <c r="S21" s="425">
        <f>(E21/'Population Figures'!AC23)*1000</f>
        <v>893.267194292721</v>
      </c>
      <c r="T21" s="280">
        <f>(F21/'Population Figures'!AE23)*1000</f>
        <v>1634.4100646038762</v>
      </c>
      <c r="U21" s="425">
        <f>(G21/'Population Figures'!AD23)*1000</f>
        <v>69.951349989339633</v>
      </c>
      <c r="V21" s="425">
        <f>(H21/'Population Figures'!AD23)*1000</f>
        <v>195.6466962572442</v>
      </c>
      <c r="W21" s="425">
        <f>(I21/'Population Figures'!AD23)*1000</f>
        <v>38.105944604888258</v>
      </c>
      <c r="X21" s="500">
        <f>(J21/'Population Figures'!AD23)*1000</f>
        <v>12.61799081270715</v>
      </c>
      <c r="Y21" s="504"/>
      <c r="Z21" s="504"/>
      <c r="AA21" s="501">
        <f>(M21/'Population Figures'!AD23)*1000</f>
        <v>18.587792917643867</v>
      </c>
    </row>
    <row r="22" spans="1:27">
      <c r="A22" s="7" t="s">
        <v>49</v>
      </c>
      <c r="B22" s="425">
        <f t="shared" ref="B22:M22" si="19">B64*$K$39</f>
        <v>62871</v>
      </c>
      <c r="C22" s="280">
        <f t="shared" si="19"/>
        <v>406</v>
      </c>
      <c r="D22" s="425">
        <f t="shared" si="19"/>
        <v>45</v>
      </c>
      <c r="E22" s="425">
        <f t="shared" si="19"/>
        <v>16965</v>
      </c>
      <c r="F22" s="280">
        <f t="shared" si="19"/>
        <v>26991</v>
      </c>
      <c r="G22" s="425">
        <f t="shared" si="19"/>
        <v>3425</v>
      </c>
      <c r="H22" s="425">
        <f t="shared" si="19"/>
        <v>11218</v>
      </c>
      <c r="I22" s="425">
        <f t="shared" si="19"/>
        <v>2070</v>
      </c>
      <c r="J22" s="425">
        <f t="shared" si="19"/>
        <v>851</v>
      </c>
      <c r="K22" s="504"/>
      <c r="L22" s="504"/>
      <c r="M22" s="280">
        <f t="shared" si="19"/>
        <v>900</v>
      </c>
      <c r="N22" s="233"/>
      <c r="O22" s="7" t="s">
        <v>49</v>
      </c>
      <c r="P22" s="425">
        <f>(B22*1000)/SUM('Population Figures'!$AC24:$AE24)</f>
        <v>676.68711656441712</v>
      </c>
      <c r="Q22" s="280">
        <f>(C22/SUM('Population Figures'!Z24:AB24))*1000</f>
        <v>4.3436396704825082</v>
      </c>
      <c r="R22" s="425">
        <f>(D22/'Population Figures'!AC24)*1000</f>
        <v>2.3501148945059538</v>
      </c>
      <c r="S22" s="425">
        <f>(E22/'Population Figures'!AC24)*1000</f>
        <v>885.99331522874445</v>
      </c>
      <c r="T22" s="280">
        <f>(F22/'Population Figures'!AE24)*1000</f>
        <v>1503.50935828877</v>
      </c>
      <c r="U22" s="425">
        <f>(G22/'Population Figures'!AD24)*1000</f>
        <v>61.368930299229532</v>
      </c>
      <c r="V22" s="425">
        <f>(H22/'Population Figures'!AD24)*1000</f>
        <v>201.00340440781221</v>
      </c>
      <c r="W22" s="425">
        <f>(I22/'Population Figures'!AD24)*1000</f>
        <v>37.090127217344559</v>
      </c>
      <c r="X22" s="500">
        <f>(J22/'Population Figures'!AD24)*1000</f>
        <v>15.248163411574986</v>
      </c>
      <c r="Y22" s="504"/>
      <c r="Z22" s="504"/>
      <c r="AA22" s="501">
        <f>(M22/'Population Figures'!AD24)*1000</f>
        <v>16.126142268410678</v>
      </c>
    </row>
    <row r="23" spans="1:27">
      <c r="A23" s="7" t="s">
        <v>50</v>
      </c>
      <c r="B23" s="425">
        <f t="shared" ref="B23:M23" si="20">B65*$K$39</f>
        <v>110983</v>
      </c>
      <c r="C23" s="280">
        <f t="shared" si="20"/>
        <v>1079</v>
      </c>
      <c r="D23" s="425">
        <f t="shared" si="20"/>
        <v>144</v>
      </c>
      <c r="E23" s="425">
        <f t="shared" si="20"/>
        <v>25610</v>
      </c>
      <c r="F23" s="280">
        <f t="shared" si="20"/>
        <v>54066</v>
      </c>
      <c r="G23" s="425">
        <f t="shared" si="20"/>
        <v>5692</v>
      </c>
      <c r="H23" s="425">
        <f t="shared" si="20"/>
        <v>14621</v>
      </c>
      <c r="I23" s="425">
        <f t="shared" si="20"/>
        <v>3233</v>
      </c>
      <c r="J23" s="425">
        <f t="shared" si="20"/>
        <v>2010</v>
      </c>
      <c r="K23" s="504"/>
      <c r="L23" s="504"/>
      <c r="M23" s="280">
        <f t="shared" si="20"/>
        <v>4528</v>
      </c>
      <c r="N23" s="233"/>
      <c r="O23" s="7" t="s">
        <v>50</v>
      </c>
      <c r="P23" s="425">
        <f>(B23*1000)/SUM('Population Figures'!$AC25:$AE25)</f>
        <v>806.7970340215179</v>
      </c>
      <c r="Q23" s="280">
        <f>(C23/SUM('Population Figures'!Z25:AB25))*1000</f>
        <v>7.8137446592801796</v>
      </c>
      <c r="R23" s="425">
        <f>(D23/'Population Figures'!AC25)*1000</f>
        <v>5.1998700032499192</v>
      </c>
      <c r="S23" s="425">
        <f>(E23/'Population Figures'!AC25)*1000</f>
        <v>924.78243599465566</v>
      </c>
      <c r="T23" s="280">
        <f>(F23/'Population Figures'!AE25)*1000</f>
        <v>1996.381360313123</v>
      </c>
      <c r="U23" s="425">
        <f>(G23/'Population Figures'!AD25)*1000</f>
        <v>68.756417225342759</v>
      </c>
      <c r="V23" s="425">
        <f>(H23/'Population Figures'!AD25)*1000</f>
        <v>176.61412091562482</v>
      </c>
      <c r="W23" s="425">
        <f>(I23/'Population Figures'!AD25)*1000</f>
        <v>39.052968532946792</v>
      </c>
      <c r="X23" s="500">
        <f>(J23/'Population Figures'!AD25)*1000</f>
        <v>24.279760826236636</v>
      </c>
      <c r="Y23" s="504"/>
      <c r="Z23" s="504"/>
      <c r="AA23" s="501">
        <f>(M23/'Population Figures'!AD25)*1000</f>
        <v>54.695899015522137</v>
      </c>
    </row>
    <row r="24" spans="1:27">
      <c r="A24" s="7" t="s">
        <v>51</v>
      </c>
      <c r="B24" s="425">
        <f t="shared" ref="B24:M24" si="21">B66*$K$39</f>
        <v>192891</v>
      </c>
      <c r="C24" s="280">
        <f t="shared" si="21"/>
        <v>1559</v>
      </c>
      <c r="D24" s="425">
        <f t="shared" si="21"/>
        <v>33</v>
      </c>
      <c r="E24" s="425">
        <f t="shared" si="21"/>
        <v>30866</v>
      </c>
      <c r="F24" s="280">
        <f t="shared" si="21"/>
        <v>84647</v>
      </c>
      <c r="G24" s="425">
        <f t="shared" si="21"/>
        <v>8859</v>
      </c>
      <c r="H24" s="425">
        <f t="shared" si="21"/>
        <v>46761</v>
      </c>
      <c r="I24" s="425">
        <f t="shared" si="21"/>
        <v>10909</v>
      </c>
      <c r="J24" s="425">
        <f t="shared" si="21"/>
        <v>1718</v>
      </c>
      <c r="K24" s="504"/>
      <c r="L24" s="504"/>
      <c r="M24" s="280">
        <f t="shared" si="21"/>
        <v>7539</v>
      </c>
      <c r="N24" s="233"/>
      <c r="O24" s="7" t="s">
        <v>51</v>
      </c>
      <c r="P24" s="425">
        <f>(B24*1000)/SUM('Population Figures'!$AC26:$AE26)</f>
        <v>570.90301003344484</v>
      </c>
      <c r="Q24" s="280">
        <f>(C24/SUM('Population Figures'!Z26:AB26))*1000</f>
        <v>4.6162501480516402</v>
      </c>
      <c r="R24" s="425">
        <f>(D24/'Population Figures'!AC26)*1000</f>
        <v>0.45345242184816215</v>
      </c>
      <c r="S24" s="425">
        <f>(E24/'Population Figures'!AC26)*1000</f>
        <v>424.1291652353143</v>
      </c>
      <c r="T24" s="280">
        <f>(F24/'Population Figures'!AE26)*1000</f>
        <v>1617.7471141350049</v>
      </c>
      <c r="U24" s="425">
        <f>(G24/'Population Figures'!AD26)*1000</f>
        <v>41.636313219376696</v>
      </c>
      <c r="V24" s="425">
        <f>(H24/'Population Figures'!AD26)*1000</f>
        <v>219.77149141565343</v>
      </c>
      <c r="W24" s="425">
        <f>(I24/'Population Figures'!AD26)*1000</f>
        <v>51.271084875288452</v>
      </c>
      <c r="X24" s="500">
        <f>(J24/'Population Figures'!AD26)*1000</f>
        <v>8.0744086365153152</v>
      </c>
      <c r="Y24" s="504"/>
      <c r="Z24" s="504"/>
      <c r="AA24" s="501">
        <f>(M24/'Population Figures'!AD26)*1000</f>
        <v>35.43246025069206</v>
      </c>
    </row>
    <row r="25" spans="1:27">
      <c r="A25" s="7" t="s">
        <v>52</v>
      </c>
      <c r="B25" s="425">
        <f t="shared" ref="B25:M25" si="22">B67*$K$39</f>
        <v>21189</v>
      </c>
      <c r="C25" s="280">
        <f t="shared" si="22"/>
        <v>351</v>
      </c>
      <c r="D25" s="425">
        <f t="shared" si="22"/>
        <v>25</v>
      </c>
      <c r="E25" s="425">
        <f t="shared" si="22"/>
        <v>2835</v>
      </c>
      <c r="F25" s="280">
        <f t="shared" si="22"/>
        <v>12943</v>
      </c>
      <c r="G25" s="425">
        <f t="shared" si="22"/>
        <v>1171</v>
      </c>
      <c r="H25" s="425">
        <f t="shared" si="22"/>
        <v>3015</v>
      </c>
      <c r="I25" s="425">
        <f t="shared" si="22"/>
        <v>519</v>
      </c>
      <c r="J25" s="425">
        <f t="shared" si="22"/>
        <v>46</v>
      </c>
      <c r="K25" s="504"/>
      <c r="L25" s="504"/>
      <c r="M25" s="280">
        <f t="shared" si="22"/>
        <v>284</v>
      </c>
      <c r="N25" s="233"/>
      <c r="O25" s="7" t="s">
        <v>52</v>
      </c>
      <c r="P25" s="425">
        <f>(B25*1000)/SUM('Population Figures'!$AC27:$AE27)</f>
        <v>984.1616349280074</v>
      </c>
      <c r="Q25" s="280">
        <f>(C25/SUM('Population Figures'!Z27:AB27))*1000</f>
        <v>16.386554621848742</v>
      </c>
      <c r="R25" s="425">
        <f>(D25/'Population Figures'!AC27)*1000</f>
        <v>6.0591371788657291</v>
      </c>
      <c r="S25" s="425">
        <f>(E25/'Population Figures'!AC27)*1000</f>
        <v>687.10615608337378</v>
      </c>
      <c r="T25" s="280">
        <f>(F25/'Population Figures'!AE27)*1000</f>
        <v>2908.5393258426966</v>
      </c>
      <c r="U25" s="425">
        <f>(G25/'Population Figures'!AD27)*1000</f>
        <v>90.396788636714533</v>
      </c>
      <c r="V25" s="425">
        <f>(H25/'Population Figures'!AD27)*1000</f>
        <v>232.74664196387215</v>
      </c>
      <c r="W25" s="425">
        <f>(I25/'Population Figures'!AD27)*1000</f>
        <v>40.064844835572025</v>
      </c>
      <c r="X25" s="500">
        <f>(J25/'Population Figures'!AD27)*1000</f>
        <v>3.5510267098965569</v>
      </c>
      <c r="Y25" s="504"/>
      <c r="Z25" s="504"/>
      <c r="AA25" s="501">
        <f>(M25/'Population Figures'!AD27)*1000</f>
        <v>21.923730121970049</v>
      </c>
    </row>
    <row r="26" spans="1:27">
      <c r="A26" s="7" t="s">
        <v>53</v>
      </c>
      <c r="B26" s="425">
        <f t="shared" ref="B26:M26" si="23">B68*$K$39</f>
        <v>88221</v>
      </c>
      <c r="C26" s="280">
        <f t="shared" si="23"/>
        <v>380</v>
      </c>
      <c r="D26" s="425">
        <f t="shared" si="23"/>
        <v>0</v>
      </c>
      <c r="E26" s="425">
        <f t="shared" si="23"/>
        <v>17364</v>
      </c>
      <c r="F26" s="280">
        <f t="shared" si="23"/>
        <v>44108</v>
      </c>
      <c r="G26" s="425">
        <f t="shared" si="23"/>
        <v>3499</v>
      </c>
      <c r="H26" s="425">
        <f t="shared" si="23"/>
        <v>14894</v>
      </c>
      <c r="I26" s="425">
        <f t="shared" si="23"/>
        <v>4040</v>
      </c>
      <c r="J26" s="425">
        <f t="shared" si="23"/>
        <v>997</v>
      </c>
      <c r="K26" s="504"/>
      <c r="L26" s="504"/>
      <c r="M26" s="280">
        <f t="shared" si="23"/>
        <v>2939</v>
      </c>
      <c r="N26" s="233"/>
      <c r="O26" s="7" t="s">
        <v>53</v>
      </c>
      <c r="P26" s="425">
        <f>(B26*1000)/SUM('Population Figures'!$AC28:$AE28)</f>
        <v>597.1368620549614</v>
      </c>
      <c r="Q26" s="280">
        <f>(C26/SUM('Population Figures'!Z28:AB28))*1000</f>
        <v>2.5876744977868573</v>
      </c>
      <c r="R26" s="425">
        <f>(D26/'Population Figures'!AC28)*1000</f>
        <v>0</v>
      </c>
      <c r="S26" s="425">
        <f>(E26/'Population Figures'!AC28)*1000</f>
        <v>608.36661761614459</v>
      </c>
      <c r="T26" s="280">
        <f>(F26/'Population Figures'!AE28)*1000</f>
        <v>1424.0790365802475</v>
      </c>
      <c r="U26" s="425">
        <f>(G26/'Population Figures'!AD28)*1000</f>
        <v>39.659960328705019</v>
      </c>
      <c r="V26" s="425">
        <f>(H26/'Population Figures'!AD28)*1000</f>
        <v>168.81836214224992</v>
      </c>
      <c r="W26" s="425">
        <f>(I26/'Population Figures'!AD28)*1000</f>
        <v>45.792009067724571</v>
      </c>
      <c r="X26" s="500">
        <f>(J26/'Population Figures'!AD28)*1000</f>
        <v>11.300651742703316</v>
      </c>
      <c r="Y26" s="504"/>
      <c r="Z26" s="504"/>
      <c r="AA26" s="501">
        <f>(M26/'Population Figures'!AD28)*1000</f>
        <v>33.312553131198634</v>
      </c>
    </row>
    <row r="27" spans="1:27">
      <c r="A27" s="7" t="s">
        <v>54</v>
      </c>
      <c r="B27" s="425">
        <f t="shared" ref="B27:M27" si="24">B69*$K$39</f>
        <v>125370</v>
      </c>
      <c r="C27" s="280">
        <f t="shared" si="24"/>
        <v>527</v>
      </c>
      <c r="D27" s="425">
        <f t="shared" si="24"/>
        <v>0</v>
      </c>
      <c r="E27" s="425">
        <f t="shared" si="24"/>
        <v>33285</v>
      </c>
      <c r="F27" s="280">
        <f t="shared" si="24"/>
        <v>52715</v>
      </c>
      <c r="G27" s="425">
        <f t="shared" si="24"/>
        <v>6313</v>
      </c>
      <c r="H27" s="425">
        <f t="shared" si="24"/>
        <v>21882</v>
      </c>
      <c r="I27" s="425">
        <f t="shared" si="24"/>
        <v>4372</v>
      </c>
      <c r="J27" s="425">
        <f t="shared" si="24"/>
        <v>1812</v>
      </c>
      <c r="K27" s="504"/>
      <c r="L27" s="504"/>
      <c r="M27" s="280">
        <f t="shared" si="24"/>
        <v>4464</v>
      </c>
      <c r="N27" s="233"/>
      <c r="O27" s="7" t="s">
        <v>54</v>
      </c>
      <c r="P27" s="425">
        <f>(B27*1000)/SUM('Population Figures'!$AC29:$AE29)</f>
        <v>719.23584418564622</v>
      </c>
      <c r="Q27" s="280">
        <f>(C27/SUM('Population Figures'!Z29:AB29))*1000</f>
        <v>3.0165998855180307</v>
      </c>
      <c r="R27" s="425">
        <f>(D27/'Population Figures'!AC29)*1000</f>
        <v>0</v>
      </c>
      <c r="S27" s="425">
        <f>(E27/'Population Figures'!AC29)*1000</f>
        <v>966.88453159041399</v>
      </c>
      <c r="T27" s="280">
        <f>(F27/'Population Figures'!AE29)*1000</f>
        <v>1724.5722511204895</v>
      </c>
      <c r="U27" s="425">
        <f>(G27/'Population Figures'!AD29)*1000</f>
        <v>57.748952597010557</v>
      </c>
      <c r="V27" s="425">
        <f>(H27/'Population Figures'!AD29)*1000</f>
        <v>200.16831628825992</v>
      </c>
      <c r="W27" s="425">
        <f>(I27/'Population Figures'!AD29)*1000</f>
        <v>39.993413710459393</v>
      </c>
      <c r="X27" s="500">
        <f>(J27/'Population Figures'!AD29)*1000</f>
        <v>16.575495343859199</v>
      </c>
      <c r="Y27" s="504"/>
      <c r="Z27" s="504"/>
      <c r="AA27" s="501">
        <f>(M27/'Population Figures'!AD29)*1000</f>
        <v>40.834995151759088</v>
      </c>
    </row>
    <row r="28" spans="1:27">
      <c r="A28" s="7" t="s">
        <v>55</v>
      </c>
      <c r="B28" s="425">
        <f t="shared" ref="B28:M28" si="25">B70*$K$39</f>
        <v>83559</v>
      </c>
      <c r="C28" s="280">
        <f t="shared" si="25"/>
        <v>223</v>
      </c>
      <c r="D28" s="425">
        <f t="shared" si="25"/>
        <v>23</v>
      </c>
      <c r="E28" s="425">
        <f t="shared" si="25"/>
        <v>14482</v>
      </c>
      <c r="F28" s="280">
        <f t="shared" si="25"/>
        <v>39004</v>
      </c>
      <c r="G28" s="425">
        <f t="shared" si="25"/>
        <v>5445</v>
      </c>
      <c r="H28" s="425">
        <f t="shared" si="25"/>
        <v>20211</v>
      </c>
      <c r="I28" s="425">
        <f t="shared" si="25"/>
        <v>2466</v>
      </c>
      <c r="J28" s="425">
        <f t="shared" si="25"/>
        <v>361</v>
      </c>
      <c r="K28" s="504"/>
      <c r="L28" s="504"/>
      <c r="M28" s="280">
        <f t="shared" si="25"/>
        <v>1344</v>
      </c>
      <c r="N28" s="233"/>
      <c r="O28" s="7" t="s">
        <v>55</v>
      </c>
      <c r="P28" s="425">
        <f>(B28*1000)/SUM('Population Figures'!$AC30:$AE30)</f>
        <v>734.84302172192417</v>
      </c>
      <c r="Q28" s="280">
        <f>(C28/SUM('Population Figures'!Z30:AB30))*1000</f>
        <v>1.9582016157358622</v>
      </c>
      <c r="R28" s="425">
        <f>(D28/'Population Figures'!AC30)*1000</f>
        <v>1.0554816208526456</v>
      </c>
      <c r="S28" s="425">
        <f>(E28/'Population Figures'!AC30)*1000</f>
        <v>664.58629709513104</v>
      </c>
      <c r="T28" s="280">
        <f>(F28/'Population Figures'!AE30)*1000</f>
        <v>1564.1642605068978</v>
      </c>
      <c r="U28" s="425">
        <f>(G28/'Population Figures'!AD30)*1000</f>
        <v>81.289282355224472</v>
      </c>
      <c r="V28" s="425">
        <f>(H28/'Population Figures'!AD30)*1000</f>
        <v>301.73327560724363</v>
      </c>
      <c r="W28" s="425">
        <f>(I28/'Population Figures'!AD30)*1000</f>
        <v>36.815311347655374</v>
      </c>
      <c r="X28" s="500">
        <f>(J28/'Population Figures'!AD30)*1000</f>
        <v>5.3894271680874253</v>
      </c>
      <c r="Y28" s="504"/>
      <c r="Z28" s="504"/>
      <c r="AA28" s="501">
        <f>(M28/'Population Figures'!AD30)*1000</f>
        <v>20.064792559306092</v>
      </c>
    </row>
    <row r="29" spans="1:27">
      <c r="A29" s="7" t="s">
        <v>56</v>
      </c>
      <c r="B29" s="425">
        <f t="shared" ref="B29:M29" si="26">B71*$K$39</f>
        <v>37925</v>
      </c>
      <c r="C29" s="280">
        <f t="shared" si="26"/>
        <v>164</v>
      </c>
      <c r="D29" s="425">
        <f t="shared" si="26"/>
        <v>19</v>
      </c>
      <c r="E29" s="425">
        <f t="shared" si="26"/>
        <v>5372</v>
      </c>
      <c r="F29" s="280">
        <f t="shared" si="26"/>
        <v>20126</v>
      </c>
      <c r="G29" s="425">
        <f t="shared" si="26"/>
        <v>3225</v>
      </c>
      <c r="H29" s="425">
        <f t="shared" si="26"/>
        <v>5807</v>
      </c>
      <c r="I29" s="425">
        <f t="shared" si="26"/>
        <v>2003</v>
      </c>
      <c r="J29" s="425">
        <f t="shared" si="26"/>
        <v>798</v>
      </c>
      <c r="K29" s="504"/>
      <c r="L29" s="504"/>
      <c r="M29" s="280">
        <f t="shared" si="26"/>
        <v>411</v>
      </c>
      <c r="N29" s="233"/>
      <c r="O29" s="7" t="s">
        <v>56</v>
      </c>
      <c r="P29" s="425">
        <f>(B29*1000)/SUM('Population Figures'!$AC31:$AE31)</f>
        <v>1633.9939681171909</v>
      </c>
      <c r="Q29" s="280">
        <f>(C29/SUM('Population Figures'!Z31:AB31))*1000</f>
        <v>7.0567986230636839</v>
      </c>
      <c r="R29" s="425">
        <f>(D29/'Population Figures'!AC31)*1000</f>
        <v>3.7924151696606785</v>
      </c>
      <c r="S29" s="425">
        <f>(E29/'Population Figures'!AC31)*1000</f>
        <v>1072.255489021956</v>
      </c>
      <c r="T29" s="280">
        <f>(F29/'Population Figures'!AE31)*1000</f>
        <v>5054.2440984429932</v>
      </c>
      <c r="U29" s="425">
        <f>(G29/'Population Figures'!AD31)*1000</f>
        <v>226.82515121676747</v>
      </c>
      <c r="V29" s="425">
        <f>(H29/'Population Figures'!AD31)*1000</f>
        <v>408.42593895062595</v>
      </c>
      <c r="W29" s="425">
        <f>(I29/'Population Figures'!AD31)*1000</f>
        <v>140.87776058517375</v>
      </c>
      <c r="X29" s="500">
        <f>(J29/'Population Figures'!AD31)*1000</f>
        <v>56.126037417358276</v>
      </c>
      <c r="Y29" s="504"/>
      <c r="Z29" s="504"/>
      <c r="AA29" s="501">
        <f>(M29/'Population Figures'!AD31)*1000</f>
        <v>28.907019271346179</v>
      </c>
    </row>
    <row r="30" spans="1:27">
      <c r="A30" s="7" t="s">
        <v>57</v>
      </c>
      <c r="B30" s="425">
        <f t="shared" ref="B30:M30" si="27">B72*$K$39</f>
        <v>89383</v>
      </c>
      <c r="C30" s="280">
        <f t="shared" si="27"/>
        <v>0</v>
      </c>
      <c r="D30" s="425">
        <f t="shared" si="27"/>
        <v>74</v>
      </c>
      <c r="E30" s="425">
        <f t="shared" si="27"/>
        <v>18416</v>
      </c>
      <c r="F30" s="280">
        <f t="shared" si="27"/>
        <v>44284</v>
      </c>
      <c r="G30" s="425">
        <f t="shared" si="27"/>
        <v>3822</v>
      </c>
      <c r="H30" s="425">
        <f t="shared" si="27"/>
        <v>16605</v>
      </c>
      <c r="I30" s="425">
        <f t="shared" si="27"/>
        <v>3754</v>
      </c>
      <c r="J30" s="425">
        <f t="shared" si="27"/>
        <v>795</v>
      </c>
      <c r="K30" s="504"/>
      <c r="L30" s="504"/>
      <c r="M30" s="280">
        <f t="shared" si="27"/>
        <v>1633</v>
      </c>
      <c r="O30" s="7" t="s">
        <v>57</v>
      </c>
      <c r="P30" s="425">
        <f>(B30*1000)/SUM('Population Figures'!$AC32:$AE32)</f>
        <v>791.63050216986983</v>
      </c>
      <c r="Q30" s="280">
        <f>(C30/SUM('Population Figures'!Z32:AB32))*1000</f>
        <v>0</v>
      </c>
      <c r="R30" s="425">
        <f>(D30/'Population Figures'!AC32)*1000</f>
        <v>3.555811830282062</v>
      </c>
      <c r="S30" s="425">
        <f>(E30/'Population Figures'!AC32)*1000</f>
        <v>884.91663062803332</v>
      </c>
      <c r="T30" s="280">
        <f>(F30/'Population Figures'!AE32)*1000</f>
        <v>1753.1968803198861</v>
      </c>
      <c r="U30" s="425">
        <f>(G30/'Population Figures'!AD32)*1000</f>
        <v>57.181328545780971</v>
      </c>
      <c r="V30" s="425">
        <f>(H30/'Population Figures'!AD32)*1000</f>
        <v>248.42908438061042</v>
      </c>
      <c r="W30" s="425">
        <f>(I30/'Population Figures'!AD32)*1000</f>
        <v>56.163973668461999</v>
      </c>
      <c r="X30" s="500">
        <f>(J30/'Population Figures'!AD32)*1000</f>
        <v>11.89407540394973</v>
      </c>
      <c r="Y30" s="504"/>
      <c r="Z30" s="504"/>
      <c r="AA30" s="501">
        <f>(M30/'Population Figures'!AD32)*1000</f>
        <v>24.431478156792338</v>
      </c>
    </row>
    <row r="31" spans="1:27">
      <c r="A31" s="7" t="s">
        <v>58</v>
      </c>
      <c r="B31" s="425">
        <f t="shared" ref="B31:M31" si="28">B73*$K$39</f>
        <v>190012</v>
      </c>
      <c r="C31" s="280">
        <f t="shared" si="28"/>
        <v>841</v>
      </c>
      <c r="D31" s="425">
        <f t="shared" si="28"/>
        <v>85</v>
      </c>
      <c r="E31" s="425">
        <f t="shared" si="28"/>
        <v>31983</v>
      </c>
      <c r="F31" s="280">
        <f t="shared" si="28"/>
        <v>95180</v>
      </c>
      <c r="G31" s="425">
        <f t="shared" si="28"/>
        <v>11972</v>
      </c>
      <c r="H31" s="425">
        <f t="shared" si="28"/>
        <v>35432</v>
      </c>
      <c r="I31" s="425">
        <f t="shared" si="28"/>
        <v>6953</v>
      </c>
      <c r="J31" s="425">
        <f t="shared" si="28"/>
        <v>1251</v>
      </c>
      <c r="K31" s="504"/>
      <c r="L31" s="504"/>
      <c r="M31" s="280">
        <f t="shared" si="28"/>
        <v>6315</v>
      </c>
      <c r="O31" s="7" t="s">
        <v>58</v>
      </c>
      <c r="P31" s="425">
        <f>(B31*1000)/SUM('Population Figures'!$AC33:$AE33)</f>
        <v>604.44076854561649</v>
      </c>
      <c r="Q31" s="280">
        <f>(C31/SUM('Population Figures'!Z33:AB33))*1000</f>
        <v>2.6791971965594135</v>
      </c>
      <c r="R31" s="425">
        <f>(D31/'Population Figures'!AC33)*1000</f>
        <v>1.3540422142572679</v>
      </c>
      <c r="S31" s="425">
        <f>(E31/'Population Figures'!AC33)*1000</f>
        <v>509.48626045400238</v>
      </c>
      <c r="T31" s="280">
        <f>(F31/'Population Figures'!AE33)*1000</f>
        <v>1729.9478362020393</v>
      </c>
      <c r="U31" s="425">
        <f>(G31/'Population Figures'!AD33)*1000</f>
        <v>60.905751757679354</v>
      </c>
      <c r="V31" s="425">
        <f>(H31/'Population Figures'!AD33)*1000</f>
        <v>180.25497797177539</v>
      </c>
      <c r="W31" s="425">
        <f>(I31/'Population Figures'!AD33)*1000</f>
        <v>35.372343131569039</v>
      </c>
      <c r="X31" s="500">
        <f>(J31/'Population Figures'!AD33)*1000</f>
        <v>6.3642745947925885</v>
      </c>
      <c r="Y31" s="504"/>
      <c r="Z31" s="504"/>
      <c r="AA31" s="501">
        <f>(M31/'Population Figures'!AD33)*1000</f>
        <v>32.126613961722782</v>
      </c>
    </row>
    <row r="32" spans="1:27">
      <c r="A32" s="7" t="s">
        <v>59</v>
      </c>
      <c r="B32" s="425">
        <f t="shared" ref="B32:M32" si="29">B74*$K$39</f>
        <v>57240</v>
      </c>
      <c r="C32" s="280">
        <f t="shared" si="29"/>
        <v>923</v>
      </c>
      <c r="D32" s="425">
        <f t="shared" si="29"/>
        <v>0</v>
      </c>
      <c r="E32" s="425">
        <f t="shared" si="29"/>
        <v>11133</v>
      </c>
      <c r="F32" s="280">
        <f t="shared" si="29"/>
        <v>25752</v>
      </c>
      <c r="G32" s="425">
        <f t="shared" si="29"/>
        <v>3043</v>
      </c>
      <c r="H32" s="425">
        <f t="shared" si="29"/>
        <v>10949</v>
      </c>
      <c r="I32" s="425">
        <f t="shared" si="29"/>
        <v>2842</v>
      </c>
      <c r="J32" s="425">
        <f t="shared" si="29"/>
        <v>450</v>
      </c>
      <c r="K32" s="504"/>
      <c r="L32" s="504"/>
      <c r="M32" s="280">
        <f t="shared" si="29"/>
        <v>2148</v>
      </c>
      <c r="O32" s="7" t="s">
        <v>59</v>
      </c>
      <c r="P32" s="425">
        <f>(B32*1000)/SUM('Population Figures'!$AC34:$AE34)</f>
        <v>628.87277521423857</v>
      </c>
      <c r="Q32" s="280">
        <f>(C32/SUM('Population Figures'!Z34:AB34))*1000</f>
        <v>10.218089228384811</v>
      </c>
      <c r="R32" s="425">
        <f>(D32/'Population Figures'!AC34)*1000</f>
        <v>0</v>
      </c>
      <c r="S32" s="425">
        <f>(E32/'Population Figures'!AC34)*1000</f>
        <v>607.86240786240785</v>
      </c>
      <c r="T32" s="280">
        <f>(F32/'Population Figures'!AE34)*1000</f>
        <v>1582.6931350255056</v>
      </c>
      <c r="U32" s="425">
        <f>(G32/'Population Figures'!AD34)*1000</f>
        <v>53.921394903781412</v>
      </c>
      <c r="V32" s="425">
        <f>(H32/'Population Figures'!AD34)*1000</f>
        <v>194.01424673069425</v>
      </c>
      <c r="W32" s="425">
        <f>(I32/'Population Figures'!AD34)*1000</f>
        <v>50.359712230215827</v>
      </c>
      <c r="X32" s="500">
        <f>(J32/'Population Figures'!AD34)*1000</f>
        <v>7.9739164333557779</v>
      </c>
      <c r="Y32" s="504"/>
      <c r="Z32" s="504"/>
      <c r="AA32" s="501">
        <f>(M32/'Population Figures'!AD34)*1000</f>
        <v>38.062161108551578</v>
      </c>
    </row>
    <row r="33" spans="1:27">
      <c r="A33" s="7" t="s">
        <v>60</v>
      </c>
      <c r="B33" s="425">
        <f t="shared" ref="B33:M33" si="30">B75*$K$39</f>
        <v>72884</v>
      </c>
      <c r="C33" s="280">
        <f t="shared" si="30"/>
        <v>1113</v>
      </c>
      <c r="D33" s="425">
        <f t="shared" si="30"/>
        <v>40</v>
      </c>
      <c r="E33" s="425">
        <f t="shared" si="30"/>
        <v>16761</v>
      </c>
      <c r="F33" s="280">
        <f t="shared" si="30"/>
        <v>32565</v>
      </c>
      <c r="G33" s="425">
        <f t="shared" si="30"/>
        <v>4537</v>
      </c>
      <c r="H33" s="425">
        <f t="shared" si="30"/>
        <v>11079</v>
      </c>
      <c r="I33" s="425">
        <f t="shared" si="30"/>
        <v>2906</v>
      </c>
      <c r="J33" s="425">
        <f t="shared" si="30"/>
        <v>1698</v>
      </c>
      <c r="K33" s="504"/>
      <c r="L33" s="504"/>
      <c r="M33" s="280">
        <f t="shared" si="30"/>
        <v>2185</v>
      </c>
      <c r="O33" s="7" t="s">
        <v>60</v>
      </c>
      <c r="P33" s="425">
        <f>(B33*1000)/SUM('Population Figures'!$AC35:$AE35)</f>
        <v>806.77440779278277</v>
      </c>
      <c r="Q33" s="280">
        <f>(C33/SUM('Population Figures'!Z35:AB35))*1000</f>
        <v>12.28341242688445</v>
      </c>
      <c r="R33" s="425">
        <f>(D33/'Population Figures'!AC35)*1000</f>
        <v>2.2099447513812156</v>
      </c>
      <c r="S33" s="425">
        <f>(E33/'Population Figures'!AC35)*1000</f>
        <v>926.02209944751382</v>
      </c>
      <c r="T33" s="280">
        <f>(F33/'Population Figures'!AE35)*1000</f>
        <v>2132.4733154344835</v>
      </c>
      <c r="U33" s="425">
        <f>(G33/'Population Figures'!AD35)*1000</f>
        <v>79.639804103986378</v>
      </c>
      <c r="V33" s="425">
        <f>(H33/'Population Figures'!AD35)*1000</f>
        <v>194.47418771612632</v>
      </c>
      <c r="W33" s="425">
        <f>(I33/'Population Figures'!AD35)*1000</f>
        <v>51.010198529024557</v>
      </c>
      <c r="X33" s="500">
        <f>(J33/'Population Figures'!AD35)*1000</f>
        <v>29.80568379294002</v>
      </c>
      <c r="Y33" s="504"/>
      <c r="Z33" s="504"/>
      <c r="AA33" s="501">
        <f>(M33/'Population Figures'!AD35)*1000</f>
        <v>38.35419263108006</v>
      </c>
    </row>
    <row r="34" spans="1:27">
      <c r="A34" s="7" t="s">
        <v>61</v>
      </c>
      <c r="B34" s="425">
        <f t="shared" ref="B34:M34" si="31">B76*$K$39</f>
        <v>87322</v>
      </c>
      <c r="C34" s="280">
        <f t="shared" si="31"/>
        <v>1010</v>
      </c>
      <c r="D34" s="425">
        <f t="shared" si="31"/>
        <v>63</v>
      </c>
      <c r="E34" s="425">
        <f t="shared" si="31"/>
        <v>22026</v>
      </c>
      <c r="F34" s="280">
        <f t="shared" si="31"/>
        <v>36875</v>
      </c>
      <c r="G34" s="425">
        <f t="shared" si="31"/>
        <v>5950</v>
      </c>
      <c r="H34" s="425">
        <f t="shared" si="31"/>
        <v>13799</v>
      </c>
      <c r="I34" s="425">
        <f t="shared" si="31"/>
        <v>4356</v>
      </c>
      <c r="J34" s="425">
        <f t="shared" si="31"/>
        <v>629</v>
      </c>
      <c r="K34" s="504"/>
      <c r="L34" s="504"/>
      <c r="M34" s="280">
        <f t="shared" si="31"/>
        <v>2614</v>
      </c>
      <c r="O34" s="7" t="s">
        <v>61</v>
      </c>
      <c r="P34" s="425">
        <f>(B34*1000)/SUM('Population Figures'!$AC36:$AE36)</f>
        <v>496.17591908631169</v>
      </c>
      <c r="Q34" s="280">
        <f>(C34/SUM('Population Figures'!Z36:AB36))*1000</f>
        <v>5.76155162578437</v>
      </c>
      <c r="R34" s="425">
        <f>(D34/'Population Figures'!AC36)*1000</f>
        <v>1.5835909810723172</v>
      </c>
      <c r="S34" s="425">
        <f>(E34/'Population Figures'!AC36)*1000</f>
        <v>553.65357062061685</v>
      </c>
      <c r="T34" s="280">
        <f>(F34/'Population Figures'!AE36)*1000</f>
        <v>1462.5391663030975</v>
      </c>
      <c r="U34" s="425">
        <f>(G34/'Population Figures'!AD36)*1000</f>
        <v>53.606501252319944</v>
      </c>
      <c r="V34" s="425">
        <f>(H34/'Population Figures'!AD36)*1000</f>
        <v>124.3220354253383</v>
      </c>
      <c r="W34" s="425">
        <f>(I34/'Population Figures'!AD36)*1000</f>
        <v>39.245364614303476</v>
      </c>
      <c r="X34" s="500">
        <f>(J34/'Population Figures'!AD36)*1000</f>
        <v>5.666972989530966</v>
      </c>
      <c r="Y34" s="504"/>
      <c r="Z34" s="504"/>
      <c r="AA34" s="501">
        <f>(M34/'Population Figures'!AD36)*1000</f>
        <v>23.550822566985602</v>
      </c>
    </row>
    <row r="35" spans="1:27" s="1" customFormat="1">
      <c r="A35" s="52" t="s">
        <v>5</v>
      </c>
      <c r="B35" s="53">
        <f t="shared" ref="B35:M35" si="32">B77*$K$39</f>
        <v>3785476</v>
      </c>
      <c r="C35" s="52">
        <f t="shared" si="32"/>
        <v>25593</v>
      </c>
      <c r="D35" s="53">
        <f t="shared" si="32"/>
        <v>2496</v>
      </c>
      <c r="E35" s="53">
        <f t="shared" si="32"/>
        <v>837106</v>
      </c>
      <c r="F35" s="52">
        <f t="shared" si="32"/>
        <v>1681644</v>
      </c>
      <c r="G35" s="53">
        <f t="shared" si="32"/>
        <v>211784</v>
      </c>
      <c r="H35" s="53">
        <f t="shared" si="32"/>
        <v>696499</v>
      </c>
      <c r="I35" s="53">
        <f t="shared" si="32"/>
        <v>156491</v>
      </c>
      <c r="J35" s="53">
        <f t="shared" si="32"/>
        <v>63116</v>
      </c>
      <c r="K35" s="505"/>
      <c r="L35" s="505"/>
      <c r="M35" s="52">
        <f t="shared" si="32"/>
        <v>110747</v>
      </c>
      <c r="O35" s="52" t="s">
        <v>5</v>
      </c>
      <c r="P35" s="53">
        <f>(B35*1000)/SUM('Population Figures'!$AC37:$AE37)</f>
        <v>712.41267690454686</v>
      </c>
      <c r="Q35" s="52">
        <f>(C35/SUM('Population Figures'!Z37:AB37))*1000</f>
        <v>4.8289590369629609</v>
      </c>
      <c r="R35" s="53">
        <f>(D35/'Population Figures'!AC37)*1000</f>
        <v>2.4035498582521875</v>
      </c>
      <c r="S35" s="53">
        <f>(E35/'Population Figures'!AC37)*1000</f>
        <v>806.10016331813142</v>
      </c>
      <c r="T35" s="52">
        <f>(F35/'Population Figures'!AE37)*1000</f>
        <v>1816.5186967121829</v>
      </c>
      <c r="U35" s="53">
        <f>(G35/'Population Figures'!AD37)*1000</f>
        <v>63.230712503937291</v>
      </c>
      <c r="V35" s="53">
        <f>(H35/'Population Figures'!AD37)*1000</f>
        <v>207.94832484172468</v>
      </c>
      <c r="W35" s="53">
        <f>(I35/'Population Figures'!AD37)*1000</f>
        <v>46.722308722347535</v>
      </c>
      <c r="X35" s="445">
        <f>(J35/'Population Figures'!AD37)*1000</f>
        <v>18.844056446183405</v>
      </c>
      <c r="Y35" s="505"/>
      <c r="Z35" s="505"/>
      <c r="AA35" s="446">
        <f>(M35/'Population Figures'!AD37)*1000</f>
        <v>33.064876089192495</v>
      </c>
    </row>
    <row r="36" spans="1:27">
      <c r="A36" s="502" t="s">
        <v>93</v>
      </c>
    </row>
    <row r="37" spans="1:27" ht="13.5" thickBot="1">
      <c r="A37" s="503" t="s">
        <v>349</v>
      </c>
      <c r="B37" s="11"/>
      <c r="N37" s="233"/>
      <c r="S37" s="11"/>
      <c r="V37" s="11"/>
      <c r="W37" s="11"/>
      <c r="X37" s="149"/>
    </row>
    <row r="38" spans="1:27">
      <c r="A38" s="557"/>
      <c r="B38" s="558" t="s">
        <v>2</v>
      </c>
      <c r="C38" s="558" t="s">
        <v>3</v>
      </c>
      <c r="D38" s="558" t="s">
        <v>4</v>
      </c>
      <c r="E38" s="558" t="s">
        <v>0</v>
      </c>
      <c r="F38" s="558" t="s">
        <v>1</v>
      </c>
      <c r="G38" s="558" t="s">
        <v>28</v>
      </c>
      <c r="H38" s="558" t="s">
        <v>65</v>
      </c>
      <c r="I38" s="558" t="s">
        <v>267</v>
      </c>
      <c r="J38" s="558" t="s">
        <v>315</v>
      </c>
      <c r="K38" s="559" t="s">
        <v>322</v>
      </c>
      <c r="N38" s="233"/>
      <c r="S38" s="11"/>
      <c r="V38" s="11"/>
      <c r="W38" s="11"/>
      <c r="X38" s="149"/>
    </row>
    <row r="39" spans="1:27" ht="13.5" thickBot="1">
      <c r="A39" s="556" t="s">
        <v>374</v>
      </c>
      <c r="B39" s="560">
        <f>Deflators!$K$2/Deflators!B2</f>
        <v>1.2578653222339471</v>
      </c>
      <c r="C39" s="560">
        <f>Deflators!$K$2/Deflators!C2</f>
        <v>1.2198372792278347</v>
      </c>
      <c r="D39" s="560">
        <f>Deflators!$K$2/Deflators!D2</f>
        <v>1.1851747290380392</v>
      </c>
      <c r="E39" s="560">
        <f>Deflators!$K$2/Deflators!E2</f>
        <v>1.1511498980650239</v>
      </c>
      <c r="F39" s="560">
        <f>Deflators!$K$2/Deflators!F2</f>
        <v>1.1192446793712618</v>
      </c>
      <c r="G39" s="560">
        <f>Deflators!$K$2/Deflators!G2</f>
        <v>1.0903639628245232</v>
      </c>
      <c r="H39" s="560">
        <f>Deflators!$K$2/Deflators!H2</f>
        <v>1.0651759021258289</v>
      </c>
      <c r="I39" s="560">
        <f>Deflators!$K$2/Deflators!I2</f>
        <v>1.0341337503213095</v>
      </c>
      <c r="J39" s="560">
        <f>Deflators!$K$2/Deflators!J2</f>
        <v>1.0183193064607987</v>
      </c>
      <c r="K39" s="562">
        <f>Deflators!$K$2/Deflators!K2</f>
        <v>1</v>
      </c>
      <c r="N39" s="233"/>
      <c r="S39" s="11"/>
      <c r="V39" s="11"/>
      <c r="W39" s="11"/>
      <c r="X39" s="149"/>
    </row>
    <row r="40" spans="1:27">
      <c r="N40" s="233"/>
      <c r="S40" s="11"/>
      <c r="V40" s="11"/>
      <c r="W40" s="11"/>
      <c r="X40" s="149"/>
    </row>
    <row r="41" spans="1:27">
      <c r="A41" t="s">
        <v>350</v>
      </c>
      <c r="N41" s="233"/>
      <c r="U41" s="11"/>
    </row>
    <row r="42" spans="1:27">
      <c r="N42" s="233"/>
      <c r="U42" s="11"/>
    </row>
    <row r="43" spans="1:27">
      <c r="B43" s="762" t="s">
        <v>370</v>
      </c>
      <c r="C43" s="762"/>
      <c r="D43" s="762"/>
      <c r="E43" s="762"/>
      <c r="F43" s="762"/>
      <c r="G43" s="762"/>
      <c r="H43" s="762"/>
      <c r="I43" s="762"/>
      <c r="J43" s="762"/>
      <c r="K43" s="762"/>
      <c r="L43" s="762"/>
      <c r="M43" s="762"/>
      <c r="O43" s="762" t="s">
        <v>372</v>
      </c>
      <c r="P43" s="762"/>
      <c r="Q43" s="762"/>
      <c r="R43" s="762"/>
      <c r="S43" s="762"/>
      <c r="T43" s="762"/>
      <c r="U43" s="762"/>
      <c r="V43" s="762"/>
      <c r="W43" s="762"/>
      <c r="X43" s="762"/>
      <c r="Y43" s="762"/>
      <c r="Z43" s="762"/>
    </row>
    <row r="44" spans="1:27" ht="76.5">
      <c r="A44" s="21" t="s">
        <v>26</v>
      </c>
      <c r="B44" s="10" t="s">
        <v>9</v>
      </c>
      <c r="C44" s="9" t="s">
        <v>10</v>
      </c>
      <c r="D44" s="10" t="s">
        <v>11</v>
      </c>
      <c r="E44" s="10" t="s">
        <v>12</v>
      </c>
      <c r="F44" s="9" t="s">
        <v>14</v>
      </c>
      <c r="G44" s="10" t="s">
        <v>15</v>
      </c>
      <c r="H44" s="10" t="s">
        <v>16</v>
      </c>
      <c r="I44" s="10" t="s">
        <v>17</v>
      </c>
      <c r="J44" s="10" t="s">
        <v>351</v>
      </c>
      <c r="K44" s="9" t="s">
        <v>19</v>
      </c>
      <c r="L44" s="9" t="s">
        <v>20</v>
      </c>
      <c r="M44" s="9" t="s">
        <v>21</v>
      </c>
      <c r="O44" s="21" t="s">
        <v>26</v>
      </c>
      <c r="P44" s="10" t="s">
        <v>9</v>
      </c>
      <c r="Q44" s="9" t="s">
        <v>10</v>
      </c>
      <c r="R44" s="10" t="s">
        <v>11</v>
      </c>
      <c r="S44" s="10" t="s">
        <v>12</v>
      </c>
      <c r="T44" s="9" t="s">
        <v>14</v>
      </c>
      <c r="U44" s="10" t="s">
        <v>15</v>
      </c>
      <c r="V44" s="10" t="s">
        <v>16</v>
      </c>
      <c r="W44" s="10" t="s">
        <v>17</v>
      </c>
      <c r="X44" s="10" t="s">
        <v>351</v>
      </c>
      <c r="Y44" s="9" t="s">
        <v>19</v>
      </c>
      <c r="Z44" s="9" t="s">
        <v>20</v>
      </c>
      <c r="AA44" s="9" t="s">
        <v>21</v>
      </c>
    </row>
    <row r="45" spans="1:27">
      <c r="A45" s="7" t="s">
        <v>31</v>
      </c>
      <c r="B45" s="425">
        <v>164720</v>
      </c>
      <c r="C45" s="280">
        <v>737</v>
      </c>
      <c r="D45" s="425">
        <v>116</v>
      </c>
      <c r="E45" s="425">
        <v>35599</v>
      </c>
      <c r="F45" s="280">
        <v>70411</v>
      </c>
      <c r="G45" s="425">
        <v>11409</v>
      </c>
      <c r="H45" s="425">
        <v>30479</v>
      </c>
      <c r="I45" s="425">
        <v>8623</v>
      </c>
      <c r="J45" s="425">
        <v>2345</v>
      </c>
      <c r="K45" s="504"/>
      <c r="L45" s="504"/>
      <c r="M45" s="280">
        <v>5001</v>
      </c>
      <c r="N45" s="233"/>
      <c r="O45" s="7" t="s">
        <v>31</v>
      </c>
      <c r="P45" s="425">
        <f>(B45*1000)/SUM('Population Figures'!$AC5:$AE5)</f>
        <v>732.18651375738989</v>
      </c>
      <c r="Q45" s="280">
        <f>(C45/SUM('Population Figures'!AC5:AE5))*1000</f>
        <v>3.2759923545361604</v>
      </c>
      <c r="R45" s="425">
        <f>(D45/'Population Figures'!AC5)*1000</f>
        <v>3.1134253046325622</v>
      </c>
      <c r="S45" s="425">
        <f>(E45/'Population Figures'!AC5)*1000</f>
        <v>955.47265016909125</v>
      </c>
      <c r="T45" s="280">
        <f>(F45/'Population Figures'!AE5)*1000</f>
        <v>2122.9873967315925</v>
      </c>
      <c r="U45" s="425">
        <f>(G45/'Population Figures'!AD5)*1000</f>
        <v>73.822680625833087</v>
      </c>
      <c r="V45" s="425">
        <f>(H45/'Population Figures'!AD5)*1000</f>
        <v>197.21636276577848</v>
      </c>
      <c r="W45" s="425">
        <f>(I45/'Population Figures'!AD5)*1000</f>
        <v>55.795685426992613</v>
      </c>
      <c r="X45" s="500">
        <f>(J45/'Population Figures'!AD5)*1000</f>
        <v>15.173475858320501</v>
      </c>
      <c r="Y45" s="504"/>
      <c r="Z45" s="504"/>
      <c r="AA45" s="501">
        <f>(M45/'Population Figures'!AD5)*1000</f>
        <v>32.35929755542039</v>
      </c>
    </row>
    <row r="46" spans="1:27">
      <c r="A46" s="7" t="s">
        <v>32</v>
      </c>
      <c r="B46" s="425">
        <v>142313</v>
      </c>
      <c r="C46" s="280">
        <v>855</v>
      </c>
      <c r="D46" s="425">
        <v>102</v>
      </c>
      <c r="E46" s="425">
        <v>22848</v>
      </c>
      <c r="F46" s="280">
        <v>68926</v>
      </c>
      <c r="G46" s="425">
        <v>856</v>
      </c>
      <c r="H46" s="425">
        <v>39163</v>
      </c>
      <c r="I46" s="425">
        <v>4631</v>
      </c>
      <c r="J46" s="425">
        <v>2121</v>
      </c>
      <c r="K46" s="504"/>
      <c r="L46" s="504"/>
      <c r="M46" s="280">
        <v>2811</v>
      </c>
      <c r="N46" s="233"/>
      <c r="O46" s="7" t="s">
        <v>32</v>
      </c>
      <c r="P46" s="425">
        <f>(B46*1000)/SUM('Population Figures'!$AC6:$AE6)</f>
        <v>556.91085544337477</v>
      </c>
      <c r="Q46" s="280">
        <f>(C46/SUM('Population Figures'!AC6:AE6))*1000</f>
        <v>3.3458558347029821</v>
      </c>
      <c r="R46" s="425">
        <f>(D46/'Population Figures'!AC6)*1000</f>
        <v>1.8895537318686204</v>
      </c>
      <c r="S46" s="425">
        <f>(E46/'Population Figures'!AC6)*1000</f>
        <v>423.26003593857098</v>
      </c>
      <c r="T46" s="280">
        <f>(F46/'Population Figures'!AE6)*1000</f>
        <v>1605.8057451715863</v>
      </c>
      <c r="U46" s="425">
        <f>(G46/'Population Figures'!AD6)*1000</f>
        <v>5.3960009077384701</v>
      </c>
      <c r="V46" s="425">
        <f>(H46/'Population Figures'!AD6)*1000</f>
        <v>246.87334526841323</v>
      </c>
      <c r="W46" s="425">
        <f>(I46/'Population Figures'!AD6)*1000</f>
        <v>29.192617060440256</v>
      </c>
      <c r="X46" s="500">
        <f>(J46/'Population Figures'!AD6)*1000</f>
        <v>13.370231221160392</v>
      </c>
      <c r="Y46" s="504"/>
      <c r="Z46" s="504"/>
      <c r="AA46" s="501">
        <f>(M46/'Population Figures'!AD6)*1000</f>
        <v>17.719811392117805</v>
      </c>
    </row>
    <row r="47" spans="1:27">
      <c r="A47" s="7" t="s">
        <v>33</v>
      </c>
      <c r="B47" s="425">
        <v>74000</v>
      </c>
      <c r="C47" s="280">
        <v>365</v>
      </c>
      <c r="D47" s="425">
        <v>94</v>
      </c>
      <c r="E47" s="425">
        <v>14471</v>
      </c>
      <c r="F47" s="280">
        <v>38929</v>
      </c>
      <c r="G47" s="425">
        <v>3205</v>
      </c>
      <c r="H47" s="425">
        <v>12075</v>
      </c>
      <c r="I47" s="425">
        <v>2240</v>
      </c>
      <c r="J47" s="425">
        <v>933</v>
      </c>
      <c r="K47" s="504"/>
      <c r="L47" s="504"/>
      <c r="M47" s="280">
        <v>1688</v>
      </c>
      <c r="N47" s="233"/>
      <c r="O47" s="7" t="s">
        <v>33</v>
      </c>
      <c r="P47" s="425">
        <f>(B47*1000)/SUM('Population Figures'!$AC7:$AE7)</f>
        <v>636.77824627828932</v>
      </c>
      <c r="Q47" s="280">
        <f>(C47/SUM('Population Figures'!AC7:AE7))*1000</f>
        <v>3.140865674210481</v>
      </c>
      <c r="R47" s="425">
        <f>(D47/'Population Figures'!AC7)*1000</f>
        <v>4.1246160596752963</v>
      </c>
      <c r="S47" s="425">
        <f>(E47/'Population Figures'!AC7)*1000</f>
        <v>634.97147871873631</v>
      </c>
      <c r="T47" s="280">
        <f>(F47/'Population Figures'!AE7)*1000</f>
        <v>1606.3794668647356</v>
      </c>
      <c r="U47" s="425">
        <f>(G47/'Population Figures'!AD7)*1000</f>
        <v>46.324400890353544</v>
      </c>
      <c r="V47" s="425">
        <f>(H47/'Population Figures'!AD7)*1000</f>
        <v>174.52952909548176</v>
      </c>
      <c r="W47" s="425">
        <f>(I47/'Population Figures'!AD7)*1000</f>
        <v>32.376492353944442</v>
      </c>
      <c r="X47" s="500">
        <f>(J47/'Population Figures'!AD7)*1000</f>
        <v>13.485387217067036</v>
      </c>
      <c r="Y47" s="504"/>
      <c r="Z47" s="504"/>
      <c r="AA47" s="501">
        <f>(M47/'Population Figures'!AD7)*1000</f>
        <v>24.397999595293847</v>
      </c>
    </row>
    <row r="48" spans="1:27">
      <c r="A48" s="7" t="s">
        <v>34</v>
      </c>
      <c r="B48" s="425">
        <v>63760</v>
      </c>
      <c r="C48" s="280">
        <v>120</v>
      </c>
      <c r="D48" s="425">
        <v>48</v>
      </c>
      <c r="E48" s="425">
        <v>10980</v>
      </c>
      <c r="F48" s="280">
        <v>33318</v>
      </c>
      <c r="G48" s="425">
        <v>1638</v>
      </c>
      <c r="H48" s="425">
        <v>14083</v>
      </c>
      <c r="I48" s="425">
        <v>2771</v>
      </c>
      <c r="J48" s="425">
        <v>705</v>
      </c>
      <c r="K48" s="504"/>
      <c r="L48" s="504"/>
      <c r="M48" s="280">
        <v>97</v>
      </c>
      <c r="N48" s="233"/>
      <c r="O48" s="7" t="s">
        <v>34</v>
      </c>
      <c r="P48" s="425">
        <f>(B48*1000)/SUM('Population Figures'!$AC8:$AE8)</f>
        <v>733.71691599539702</v>
      </c>
      <c r="Q48" s="280">
        <f>(C48/SUM('Population Figures'!AC8:AE8))*1000</f>
        <v>1.380897583429229</v>
      </c>
      <c r="R48" s="425">
        <f>(D48/'Population Figures'!AC8)*1000</f>
        <v>2.9712163416898791</v>
      </c>
      <c r="S48" s="425">
        <f>(E48/'Population Figures'!AC8)*1000</f>
        <v>679.66573816155983</v>
      </c>
      <c r="T48" s="280">
        <f>(F48/'Population Figures'!AE8)*1000</f>
        <v>1653.088563631853</v>
      </c>
      <c r="U48" s="425">
        <f>(G48/'Population Figures'!AD8)*1000</f>
        <v>32.377940304407986</v>
      </c>
      <c r="V48" s="425">
        <f>(H48/'Population Figures'!AD8)*1000</f>
        <v>278.37517295908282</v>
      </c>
      <c r="W48" s="425">
        <f>(I48/'Population Figures'!AD8)*1000</f>
        <v>54.77367068590631</v>
      </c>
      <c r="X48" s="500">
        <f>(J48/'Population Figures'!AD8)*1000</f>
        <v>13.935560387428346</v>
      </c>
      <c r="Y48" s="504"/>
      <c r="Z48" s="504"/>
      <c r="AA48" s="501">
        <f>(M48/'Population Figures'!AD8)*1000</f>
        <v>1.9173749752915596</v>
      </c>
    </row>
    <row r="49" spans="1:27">
      <c r="A49" s="7" t="s">
        <v>35</v>
      </c>
      <c r="B49" s="425">
        <v>37241</v>
      </c>
      <c r="C49" s="280">
        <v>415</v>
      </c>
      <c r="D49" s="425">
        <v>44</v>
      </c>
      <c r="E49" s="425">
        <v>8893</v>
      </c>
      <c r="F49" s="280">
        <v>15644</v>
      </c>
      <c r="G49" s="425">
        <v>3187</v>
      </c>
      <c r="H49" s="425">
        <v>4440</v>
      </c>
      <c r="I49" s="425">
        <v>2158</v>
      </c>
      <c r="J49" s="425">
        <v>599</v>
      </c>
      <c r="K49" s="504"/>
      <c r="L49" s="504"/>
      <c r="M49" s="280">
        <v>1861</v>
      </c>
      <c r="N49" s="233"/>
      <c r="O49" s="7" t="s">
        <v>35</v>
      </c>
      <c r="P49" s="425">
        <f>(B49*1000)/SUM('Population Figures'!$AC9:$AE9)</f>
        <v>726.22854914196569</v>
      </c>
      <c r="Q49" s="280">
        <f>(C49/SUM('Population Figures'!AC9:AE9))*1000</f>
        <v>8.092823712948519</v>
      </c>
      <c r="R49" s="425">
        <f>(D49/'Population Figures'!AC9)*1000</f>
        <v>4.2004773269689739</v>
      </c>
      <c r="S49" s="425">
        <f>(E49/'Population Figures'!AC9)*1000</f>
        <v>848.97374701670651</v>
      </c>
      <c r="T49" s="280">
        <f>(F49/'Population Figures'!AE9)*1000</f>
        <v>1791.7764288168594</v>
      </c>
      <c r="U49" s="425">
        <f>(G49/'Population Figures'!AD9)*1000</f>
        <v>99.363970817484557</v>
      </c>
      <c r="V49" s="425">
        <f>(H49/'Population Figures'!AD9)*1000</f>
        <v>138.42988090041777</v>
      </c>
      <c r="W49" s="425">
        <f>(I49/'Population Figures'!AD9)*1000</f>
        <v>67.281910581779641</v>
      </c>
      <c r="X49" s="500">
        <f>(J49/'Population Figures'!AD9)*1000</f>
        <v>18.675562761114922</v>
      </c>
      <c r="Y49" s="504"/>
      <c r="Z49" s="504"/>
      <c r="AA49" s="501">
        <f>(M49/'Population Figures'!AD9)*1000</f>
        <v>58.022073953981412</v>
      </c>
    </row>
    <row r="50" spans="1:27">
      <c r="A50" s="7" t="s">
        <v>36</v>
      </c>
      <c r="B50" s="425">
        <v>115722</v>
      </c>
      <c r="C50" s="280">
        <v>2836</v>
      </c>
      <c r="D50" s="425">
        <v>85</v>
      </c>
      <c r="E50" s="425">
        <v>20072</v>
      </c>
      <c r="F50" s="280">
        <v>53319</v>
      </c>
      <c r="G50" s="425">
        <v>7330</v>
      </c>
      <c r="H50" s="425">
        <v>23259</v>
      </c>
      <c r="I50" s="425">
        <v>5228</v>
      </c>
      <c r="J50" s="425">
        <v>369</v>
      </c>
      <c r="K50" s="504"/>
      <c r="L50" s="504"/>
      <c r="M50" s="280">
        <v>3224</v>
      </c>
      <c r="N50" s="233"/>
      <c r="O50" s="7" t="s">
        <v>36</v>
      </c>
      <c r="P50" s="425">
        <f>(B50*1000)/SUM('Population Figures'!$AC10:$AE10)</f>
        <v>767.23463501955848</v>
      </c>
      <c r="Q50" s="280">
        <f>(C50/SUM('Population Figures'!AC10:AE10))*1000</f>
        <v>18.802625472386129</v>
      </c>
      <c r="R50" s="425">
        <f>(D50/'Population Figures'!AC10)*1000</f>
        <v>3.0083171120155727</v>
      </c>
      <c r="S50" s="425">
        <f>(E50/'Population Figures'!AC10)*1000</f>
        <v>710.38754202795963</v>
      </c>
      <c r="T50" s="280">
        <f>(F50/'Population Figures'!AE10)*1000</f>
        <v>1552.7695264721299</v>
      </c>
      <c r="U50" s="425">
        <f>(G50/'Population Figures'!AD10)*1000</f>
        <v>83.071727279939253</v>
      </c>
      <c r="V50" s="425">
        <f>(H50/'Population Figures'!AD10)*1000</f>
        <v>263.59690379319335</v>
      </c>
      <c r="W50" s="425">
        <f>(I50/'Population Figures'!AD10)*1000</f>
        <v>59.249521175923931</v>
      </c>
      <c r="X50" s="500">
        <f>(J50/'Population Figures'!AD10)*1000</f>
        <v>4.1819191495631083</v>
      </c>
      <c r="Y50" s="504"/>
      <c r="Z50" s="504"/>
      <c r="AA50" s="501">
        <f>(M50/'Population Figures'!AD10)*1000</f>
        <v>36.537960266101521</v>
      </c>
    </row>
    <row r="51" spans="1:27">
      <c r="A51" s="7" t="s">
        <v>37</v>
      </c>
      <c r="B51" s="425">
        <v>121784</v>
      </c>
      <c r="C51" s="280">
        <v>865</v>
      </c>
      <c r="D51" s="425">
        <v>303</v>
      </c>
      <c r="E51" s="425">
        <v>32010</v>
      </c>
      <c r="F51" s="280">
        <v>51133</v>
      </c>
      <c r="G51" s="425">
        <v>6962</v>
      </c>
      <c r="H51" s="425">
        <v>19903</v>
      </c>
      <c r="I51" s="425">
        <v>4450</v>
      </c>
      <c r="J51" s="425">
        <v>1298</v>
      </c>
      <c r="K51" s="504"/>
      <c r="L51" s="504"/>
      <c r="M51" s="280">
        <v>4860</v>
      </c>
      <c r="N51" s="233"/>
      <c r="O51" s="7" t="s">
        <v>37</v>
      </c>
      <c r="P51" s="425">
        <f>(B51*1000)/SUM('Population Figures'!$AC11:$AE11)</f>
        <v>823.97834912043299</v>
      </c>
      <c r="Q51" s="280">
        <f>(C51/SUM('Population Figures'!AC11:AE11))*1000</f>
        <v>5.8525033829499327</v>
      </c>
      <c r="R51" s="425">
        <f>(D51/'Population Figures'!AC11)*1000</f>
        <v>11.185351987891764</v>
      </c>
      <c r="S51" s="425">
        <f>(E51/'Population Figures'!AC11)*1000</f>
        <v>1181.660452582229</v>
      </c>
      <c r="T51" s="280">
        <f>(F51/'Population Figures'!AE11)*1000</f>
        <v>2033.6873085948378</v>
      </c>
      <c r="U51" s="425">
        <f>(G51/'Population Figures'!AD11)*1000</f>
        <v>72.84865226854177</v>
      </c>
      <c r="V51" s="425">
        <f>(H51/'Population Figures'!AD11)*1000</f>
        <v>208.2600870584296</v>
      </c>
      <c r="W51" s="425">
        <f>(I51/'Population Figures'!AD11)*1000</f>
        <v>46.563703331659134</v>
      </c>
      <c r="X51" s="500">
        <f>(J51/'Population Figures'!AD11)*1000</f>
        <v>13.58195211786372</v>
      </c>
      <c r="Y51" s="504"/>
      <c r="Z51" s="504"/>
      <c r="AA51" s="501">
        <f>(M51/'Population Figures'!AD11)*1000</f>
        <v>50.853842290306382</v>
      </c>
    </row>
    <row r="52" spans="1:27">
      <c r="A52" s="7" t="s">
        <v>38</v>
      </c>
      <c r="B52" s="425">
        <v>89735</v>
      </c>
      <c r="C52" s="280">
        <v>165</v>
      </c>
      <c r="D52" s="425">
        <v>61</v>
      </c>
      <c r="E52" s="425">
        <v>23528</v>
      </c>
      <c r="F52" s="280">
        <v>38804</v>
      </c>
      <c r="G52" s="425">
        <v>5015</v>
      </c>
      <c r="H52" s="425">
        <v>15851</v>
      </c>
      <c r="I52" s="425">
        <v>3476</v>
      </c>
      <c r="J52" s="425">
        <v>544</v>
      </c>
      <c r="K52" s="504"/>
      <c r="L52" s="504"/>
      <c r="M52" s="280">
        <v>2291</v>
      </c>
      <c r="N52" s="233"/>
      <c r="O52" s="7" t="s">
        <v>38</v>
      </c>
      <c r="P52" s="425">
        <f>(B52*1000)/SUM('Population Figures'!$AC12:$AE12)</f>
        <v>731.21740547588001</v>
      </c>
      <c r="Q52" s="280">
        <f>(C52/SUM('Population Figures'!AC12:AE12))*1000</f>
        <v>1.3445241199478486</v>
      </c>
      <c r="R52" s="425">
        <f>(D52/'Population Figures'!AC12)*1000</f>
        <v>2.4891863217171304</v>
      </c>
      <c r="S52" s="425">
        <f>(E52/'Population Figures'!AC12)*1000</f>
        <v>960.09140618624008</v>
      </c>
      <c r="T52" s="280">
        <f>(F52/'Population Figures'!AE12)*1000</f>
        <v>1744.6272817192698</v>
      </c>
      <c r="U52" s="425">
        <f>(G52/'Population Figures'!AD12)*1000</f>
        <v>66.011162007055233</v>
      </c>
      <c r="V52" s="425">
        <f>(H52/'Population Figures'!AD12)*1000</f>
        <v>208.64265782130258</v>
      </c>
      <c r="W52" s="425">
        <f>(I52/'Population Figures'!AD12)*1000</f>
        <v>45.753698731111463</v>
      </c>
      <c r="X52" s="500">
        <f>(J52/'Population Figures'!AD12)*1000</f>
        <v>7.1605328278839577</v>
      </c>
      <c r="Y52" s="504"/>
      <c r="Z52" s="504"/>
      <c r="AA52" s="501">
        <f>(M52/'Population Figures'!AD12)*1000</f>
        <v>30.155846890959825</v>
      </c>
    </row>
    <row r="53" spans="1:27">
      <c r="A53" s="7" t="s">
        <v>39</v>
      </c>
      <c r="B53" s="425">
        <v>73868</v>
      </c>
      <c r="C53" s="280">
        <v>1253</v>
      </c>
      <c r="D53" s="425">
        <v>3</v>
      </c>
      <c r="E53" s="425">
        <v>10353</v>
      </c>
      <c r="F53" s="280">
        <v>37443</v>
      </c>
      <c r="G53" s="425">
        <v>4407</v>
      </c>
      <c r="H53" s="425">
        <v>15958</v>
      </c>
      <c r="I53" s="425">
        <v>3095</v>
      </c>
      <c r="J53" s="425">
        <v>1006</v>
      </c>
      <c r="K53" s="504"/>
      <c r="L53" s="504"/>
      <c r="M53" s="280">
        <v>350</v>
      </c>
      <c r="N53" s="233"/>
      <c r="O53" s="7" t="s">
        <v>39</v>
      </c>
      <c r="P53" s="425">
        <f>(B53*1000)/SUM('Population Figures'!$AC13:$AE13)</f>
        <v>697.65772572723836</v>
      </c>
      <c r="Q53" s="280">
        <f>(C53/SUM('Population Figures'!AC13:AE13))*1000</f>
        <v>11.834151870041557</v>
      </c>
      <c r="R53" s="425">
        <f>(D53/'Population Figures'!AC13)*1000</f>
        <v>0.14114326040931546</v>
      </c>
      <c r="S53" s="425">
        <f>(E53/'Population Figures'!AC13)*1000</f>
        <v>487.08539167254764</v>
      </c>
      <c r="T53" s="280">
        <f>(F53/'Population Figures'!AE13)*1000</f>
        <v>1744.7809878844362</v>
      </c>
      <c r="U53" s="425">
        <f>(G53/'Population Figures'!AD13)*1000</f>
        <v>69.769650914272148</v>
      </c>
      <c r="V53" s="425">
        <f>(H53/'Population Figures'!AD13)*1000</f>
        <v>252.6399113433072</v>
      </c>
      <c r="W53" s="425">
        <f>(I53/'Population Figures'!AD13)*1000</f>
        <v>48.998654318055884</v>
      </c>
      <c r="X53" s="500">
        <f>(J53/'Population Figures'!AD13)*1000</f>
        <v>15.926541597403626</v>
      </c>
      <c r="Y53" s="504"/>
      <c r="Z53" s="504"/>
      <c r="AA53" s="501">
        <f>(M53/'Population Figures'!AD13)*1000</f>
        <v>5.5410432992954961</v>
      </c>
    </row>
    <row r="54" spans="1:27">
      <c r="A54" s="7" t="s">
        <v>40</v>
      </c>
      <c r="B54" s="425">
        <v>62738</v>
      </c>
      <c r="C54" s="280">
        <v>1301</v>
      </c>
      <c r="D54" s="425">
        <v>72</v>
      </c>
      <c r="E54" s="425">
        <v>12420</v>
      </c>
      <c r="F54" s="280">
        <v>26918</v>
      </c>
      <c r="G54" s="425">
        <v>5215</v>
      </c>
      <c r="H54" s="425">
        <v>12551</v>
      </c>
      <c r="I54" s="425">
        <v>2204</v>
      </c>
      <c r="J54" s="425">
        <v>937</v>
      </c>
      <c r="K54" s="504"/>
      <c r="L54" s="504"/>
      <c r="M54" s="280">
        <v>1120</v>
      </c>
      <c r="N54" s="233"/>
      <c r="O54" s="7" t="s">
        <v>40</v>
      </c>
      <c r="P54" s="425">
        <f>(B54*1000)/SUM('Population Figures'!$AC14:$AE14)</f>
        <v>622.09221616261777</v>
      </c>
      <c r="Q54" s="280">
        <f>(C54/SUM('Population Figures'!AC14:AE14))*1000</f>
        <v>12.900347050074368</v>
      </c>
      <c r="R54" s="425">
        <f>(D54/'Population Figures'!AC14)*1000</f>
        <v>3.381869422263974</v>
      </c>
      <c r="S54" s="425">
        <f>(E54/'Population Figures'!AC14)*1000</f>
        <v>583.37247534053552</v>
      </c>
      <c r="T54" s="280">
        <f>(F54/'Population Figures'!AE14)*1000</f>
        <v>1449.9326690008079</v>
      </c>
      <c r="U54" s="425">
        <f>(G54/'Population Figures'!AD14)*1000</f>
        <v>85.498811377981809</v>
      </c>
      <c r="V54" s="425">
        <f>(H54/'Population Figures'!AD14)*1000</f>
        <v>205.77096483318306</v>
      </c>
      <c r="W54" s="425">
        <f>(I54/'Population Figures'!AD14)*1000</f>
        <v>36.134109353225675</v>
      </c>
      <c r="X54" s="500">
        <f>(J54/'Population Figures'!AD14)*1000</f>
        <v>15.361914911058284</v>
      </c>
      <c r="Y54" s="504"/>
      <c r="Z54" s="504"/>
      <c r="AA54" s="501">
        <f>(M54/'Population Figures'!AD14)*1000</f>
        <v>18.362160832855153</v>
      </c>
    </row>
    <row r="55" spans="1:27">
      <c r="A55" s="7" t="s">
        <v>41</v>
      </c>
      <c r="B55" s="425">
        <v>55866</v>
      </c>
      <c r="C55" s="280">
        <v>888</v>
      </c>
      <c r="D55" s="425">
        <v>0</v>
      </c>
      <c r="E55" s="425">
        <v>7563</v>
      </c>
      <c r="F55" s="280">
        <v>27582</v>
      </c>
      <c r="G55" s="425">
        <v>3083</v>
      </c>
      <c r="H55" s="425">
        <v>12080</v>
      </c>
      <c r="I55" s="425">
        <v>2346</v>
      </c>
      <c r="J55" s="425">
        <v>931</v>
      </c>
      <c r="K55" s="504"/>
      <c r="L55" s="504"/>
      <c r="M55" s="280">
        <v>1393</v>
      </c>
      <c r="N55" s="233"/>
      <c r="O55" s="7" t="s">
        <v>41</v>
      </c>
      <c r="P55" s="425">
        <f>(B55*1000)/SUM('Population Figures'!$AC15:$AE15)</f>
        <v>613.70976601120515</v>
      </c>
      <c r="Q55" s="280">
        <f>(C55/SUM('Population Figures'!AC15:AE15))*1000</f>
        <v>9.7550258156651655</v>
      </c>
      <c r="R55" s="425">
        <f>(D55/'Population Figures'!AC15)*1000</f>
        <v>0</v>
      </c>
      <c r="S55" s="425">
        <f>(E55/'Population Figures'!AC15)*1000</f>
        <v>372.30481441370483</v>
      </c>
      <c r="T55" s="280">
        <f>(F55/'Population Figures'!AE15)*1000</f>
        <v>1631.4917780669584</v>
      </c>
      <c r="U55" s="425">
        <f>(G55/'Population Figures'!AD15)*1000</f>
        <v>57.294183237316481</v>
      </c>
      <c r="V55" s="425">
        <f>(H55/'Population Figures'!AD15)*1000</f>
        <v>224.4935885523137</v>
      </c>
      <c r="W55" s="425">
        <f>(I55/'Population Figures'!AD15)*1000</f>
        <v>43.597844266864897</v>
      </c>
      <c r="X55" s="500">
        <f>(J55/'Population Figures'!AD15)*1000</f>
        <v>17.301616799851331</v>
      </c>
      <c r="Y55" s="504"/>
      <c r="Z55" s="504"/>
      <c r="AA55" s="501">
        <f>(M55/'Population Figures'!AD15)*1000</f>
        <v>25.887381527597103</v>
      </c>
    </row>
    <row r="56" spans="1:27">
      <c r="A56" s="7" t="s">
        <v>140</v>
      </c>
      <c r="B56" s="425">
        <v>340435</v>
      </c>
      <c r="C56" s="280">
        <v>1846</v>
      </c>
      <c r="D56" s="425">
        <v>231</v>
      </c>
      <c r="E56" s="425">
        <v>93314</v>
      </c>
      <c r="F56" s="280">
        <v>131299</v>
      </c>
      <c r="G56" s="425">
        <v>19116</v>
      </c>
      <c r="H56" s="425">
        <v>60937</v>
      </c>
      <c r="I56" s="425">
        <v>12768</v>
      </c>
      <c r="J56" s="425">
        <v>7450</v>
      </c>
      <c r="K56" s="504"/>
      <c r="L56" s="504"/>
      <c r="M56" s="280">
        <v>13474</v>
      </c>
      <c r="N56" s="233"/>
      <c r="O56" s="7" t="s">
        <v>140</v>
      </c>
      <c r="P56" s="425">
        <f>(B56*1000)/SUM('Population Figures'!$AC16:$AE16)</f>
        <v>705.36010276810873</v>
      </c>
      <c r="Q56" s="280">
        <f>(C56/SUM('Population Figures'!AC16:AE16))*1000</f>
        <v>3.824796950107741</v>
      </c>
      <c r="R56" s="425">
        <f>(D56/'Population Figures'!AC16)*1000</f>
        <v>2.7875321290229156</v>
      </c>
      <c r="S56" s="425">
        <f>(E56/'Population Figures'!AC16)*1000</f>
        <v>1126.04230773872</v>
      </c>
      <c r="T56" s="280">
        <f>(F56/'Population Figures'!AE16)*1000</f>
        <v>1852.2034759056539</v>
      </c>
      <c r="U56" s="425">
        <f>(G56/'Population Figures'!AD16)*1000</f>
        <v>58.124013707002192</v>
      </c>
      <c r="V56" s="425">
        <f>(H56/'Population Figures'!AD16)*1000</f>
        <v>185.2847365172417</v>
      </c>
      <c r="W56" s="425">
        <f>(I56/'Population Figures'!AD16)*1000</f>
        <v>38.822316750941823</v>
      </c>
      <c r="X56" s="500">
        <f>(J56/'Population Figures'!AD16)*1000</f>
        <v>22.652432628016648</v>
      </c>
      <c r="Y56" s="504"/>
      <c r="Z56" s="504"/>
      <c r="AA56" s="501">
        <f>(M56/'Population Figures'!AD16)*1000</f>
        <v>40.968976809382056</v>
      </c>
    </row>
    <row r="57" spans="1:27">
      <c r="A57" s="7" t="s">
        <v>42</v>
      </c>
      <c r="B57" s="425">
        <v>26220</v>
      </c>
      <c r="C57" s="280">
        <v>507</v>
      </c>
      <c r="D57" s="425">
        <v>34</v>
      </c>
      <c r="E57" s="425">
        <v>3550</v>
      </c>
      <c r="F57" s="280">
        <v>16132</v>
      </c>
      <c r="G57" s="425">
        <v>1405</v>
      </c>
      <c r="H57" s="425">
        <v>3310</v>
      </c>
      <c r="I57" s="425">
        <v>846</v>
      </c>
      <c r="J57" s="425">
        <v>145</v>
      </c>
      <c r="K57" s="504"/>
      <c r="L57" s="504"/>
      <c r="M57" s="280">
        <v>291</v>
      </c>
      <c r="N57" s="233"/>
      <c r="O57" s="7" t="s">
        <v>42</v>
      </c>
      <c r="P57" s="425">
        <f>(B57*1000)/SUM('Population Figures'!$AC17:$AE17)</f>
        <v>951.37880986937591</v>
      </c>
      <c r="Q57" s="280">
        <f>(C57/SUM('Population Figures'!AC17:AE17))*1000</f>
        <v>18.39622641509434</v>
      </c>
      <c r="R57" s="425">
        <f>(D57/'Population Figures'!AC17)*1000</f>
        <v>6.5071770334928232</v>
      </c>
      <c r="S57" s="425">
        <f>(E57/'Population Figures'!AC17)*1000</f>
        <v>679.42583732057415</v>
      </c>
      <c r="T57" s="280">
        <f>(F57/'Population Figures'!AE17)*1000</f>
        <v>2612.0466321243521</v>
      </c>
      <c r="U57" s="425">
        <f>(G57/'Population Figures'!AD17)*1000</f>
        <v>86.948449780308195</v>
      </c>
      <c r="V57" s="425">
        <f>(H57/'Population Figures'!AD17)*1000</f>
        <v>204.8394083792314</v>
      </c>
      <c r="W57" s="425">
        <f>(I57/'Population Figures'!AD17)*1000</f>
        <v>52.354724921096597</v>
      </c>
      <c r="X57" s="500">
        <f>(J57/'Population Figures'!AD17)*1000</f>
        <v>8.9733275573983544</v>
      </c>
      <c r="Y57" s="504"/>
      <c r="Z57" s="504"/>
      <c r="AA57" s="501">
        <f>(M57/'Population Figures'!AD17)*1000</f>
        <v>18.008540132433939</v>
      </c>
    </row>
    <row r="58" spans="1:27">
      <c r="A58" s="7" t="s">
        <v>43</v>
      </c>
      <c r="B58" s="425">
        <v>104629</v>
      </c>
      <c r="C58" s="280">
        <v>560</v>
      </c>
      <c r="D58" s="425">
        <v>88</v>
      </c>
      <c r="E58" s="425">
        <v>23227</v>
      </c>
      <c r="F58" s="280">
        <v>49020</v>
      </c>
      <c r="G58" s="425">
        <v>7464</v>
      </c>
      <c r="H58" s="425">
        <v>15257</v>
      </c>
      <c r="I58" s="425">
        <v>5044</v>
      </c>
      <c r="J58" s="425">
        <v>389</v>
      </c>
      <c r="K58" s="504"/>
      <c r="L58" s="504"/>
      <c r="M58" s="280">
        <v>3580</v>
      </c>
      <c r="N58" s="233"/>
      <c r="O58" s="7" t="s">
        <v>43</v>
      </c>
      <c r="P58" s="425">
        <f>(B58*1000)/SUM('Population Figures'!$AC18:$AE18)</f>
        <v>667.27678571428567</v>
      </c>
      <c r="Q58" s="280">
        <f>(C58/SUM('Population Figures'!AC18:AE18))*1000</f>
        <v>3.5714285714285712</v>
      </c>
      <c r="R58" s="425">
        <f>(D58/'Population Figures'!AC18)*1000</f>
        <v>2.7376804380288702</v>
      </c>
      <c r="S58" s="425">
        <f>(E58/'Population Figures'!AC18)*1000</f>
        <v>722.59208561473361</v>
      </c>
      <c r="T58" s="280">
        <f>(F58/'Population Figures'!AE18)*1000</f>
        <v>1852.607709750567</v>
      </c>
      <c r="U58" s="425">
        <f>(G58/'Population Figures'!AD18)*1000</f>
        <v>76.011242820481485</v>
      </c>
      <c r="V58" s="425">
        <f>(H58/'Population Figures'!AD18)*1000</f>
        <v>155.37292761415944</v>
      </c>
      <c r="W58" s="425">
        <f>(I58/'Population Figures'!AD18)*1000</f>
        <v>51.366654446209623</v>
      </c>
      <c r="X58" s="500">
        <f>(J58/'Population Figures'!AD18)*1000</f>
        <v>3.9614648254511384</v>
      </c>
      <c r="Y58" s="504"/>
      <c r="Z58" s="504"/>
      <c r="AA58" s="501">
        <f>(M58/'Population Figures'!AD18)*1000</f>
        <v>36.457696851195571</v>
      </c>
    </row>
    <row r="59" spans="1:27">
      <c r="A59" s="7" t="s">
        <v>44</v>
      </c>
      <c r="B59" s="425">
        <v>251184</v>
      </c>
      <c r="C59" s="280">
        <v>1080</v>
      </c>
      <c r="D59" s="425">
        <v>199</v>
      </c>
      <c r="E59" s="425">
        <v>44662</v>
      </c>
      <c r="F59" s="280">
        <v>107770</v>
      </c>
      <c r="G59" s="425">
        <v>21531</v>
      </c>
      <c r="H59" s="425">
        <v>58116</v>
      </c>
      <c r="I59" s="425">
        <v>9159</v>
      </c>
      <c r="J59" s="425">
        <v>1553</v>
      </c>
      <c r="K59" s="504"/>
      <c r="L59" s="504"/>
      <c r="M59" s="280">
        <v>7114</v>
      </c>
      <c r="N59" s="233"/>
      <c r="O59" s="7" t="s">
        <v>44</v>
      </c>
      <c r="P59" s="425">
        <f>(B59*1000)/SUM('Population Figures'!$AC19:$AE19)</f>
        <v>685.88280268690949</v>
      </c>
      <c r="Q59" s="280">
        <f>(C59/SUM('Population Figures'!AC19:AE19))*1000</f>
        <v>2.9490470209163893</v>
      </c>
      <c r="R59" s="425">
        <f>(D59/'Population Figures'!AC19)*1000</f>
        <v>2.7224471927328446</v>
      </c>
      <c r="S59" s="425">
        <f>(E59/'Population Figures'!AC19)*1000</f>
        <v>611.0047061398709</v>
      </c>
      <c r="T59" s="280">
        <f>(F59/'Population Figures'!AE19)*1000</f>
        <v>1604.8426727026344</v>
      </c>
      <c r="U59" s="425">
        <f>(G59/'Population Figures'!AD19)*1000</f>
        <v>95.28213797345677</v>
      </c>
      <c r="V59" s="425">
        <f>(H59/'Population Figures'!AD19)*1000</f>
        <v>257.18344389324295</v>
      </c>
      <c r="W59" s="425">
        <f>(I59/'Population Figures'!AD19)*1000</f>
        <v>40.531749649291278</v>
      </c>
      <c r="X59" s="500">
        <f>(J59/'Population Figures'!AD19)*1000</f>
        <v>6.8725632935199652</v>
      </c>
      <c r="Y59" s="504"/>
      <c r="Z59" s="504"/>
      <c r="AA59" s="501">
        <f>(M59/'Population Figures'!AD19)*1000</f>
        <v>31.481915821056688</v>
      </c>
    </row>
    <row r="60" spans="1:27">
      <c r="A60" s="7" t="s">
        <v>45</v>
      </c>
      <c r="B60" s="425">
        <v>542266</v>
      </c>
      <c r="C60" s="280">
        <v>844</v>
      </c>
      <c r="D60" s="425">
        <v>210</v>
      </c>
      <c r="E60" s="425">
        <v>151167</v>
      </c>
      <c r="F60" s="280">
        <v>219798</v>
      </c>
      <c r="G60" s="425">
        <v>25899</v>
      </c>
      <c r="H60" s="425">
        <v>78508</v>
      </c>
      <c r="I60" s="425">
        <v>23783</v>
      </c>
      <c r="J60" s="425">
        <v>24240</v>
      </c>
      <c r="K60" s="504"/>
      <c r="L60" s="504"/>
      <c r="M60" s="280">
        <v>17817</v>
      </c>
      <c r="N60" s="233"/>
      <c r="O60" s="7" t="s">
        <v>45</v>
      </c>
      <c r="P60" s="425">
        <f>(B60*1000)/SUM('Population Figures'!$AC20:$AE20)</f>
        <v>911.2489077098877</v>
      </c>
      <c r="Q60" s="280">
        <f>(C60/SUM('Population Figures'!AC20:AE20))*1000</f>
        <v>1.4182966996034145</v>
      </c>
      <c r="R60" s="425">
        <f>(D60/'Population Figures'!AC20)*1000</f>
        <v>1.9315317966924817</v>
      </c>
      <c r="S60" s="425">
        <f>(E60/'Population Figures'!AC20)*1000</f>
        <v>1390.3993671933922</v>
      </c>
      <c r="T60" s="280">
        <f>(F60/'Population Figures'!AE20)*1000</f>
        <v>2649.5093902938834</v>
      </c>
      <c r="U60" s="425">
        <f>(G60/'Population Figures'!AD20)*1000</f>
        <v>64.20178482895389</v>
      </c>
      <c r="V60" s="425">
        <f>(H60/'Population Figures'!AD20)*1000</f>
        <v>194.61576598909272</v>
      </c>
      <c r="W60" s="425">
        <f>(I60/'Population Figures'!AD20)*1000</f>
        <v>58.95637084779375</v>
      </c>
      <c r="X60" s="500">
        <f>(J60/'Population Figures'!AD20)*1000</f>
        <v>60.089241447694597</v>
      </c>
      <c r="Y60" s="504"/>
      <c r="Z60" s="504"/>
      <c r="AA60" s="501">
        <f>(M60/'Population Figures'!AD20)*1000</f>
        <v>44.167079821517099</v>
      </c>
    </row>
    <row r="61" spans="1:27">
      <c r="A61" s="7" t="s">
        <v>46</v>
      </c>
      <c r="B61" s="425">
        <v>170951</v>
      </c>
      <c r="C61" s="280">
        <v>321</v>
      </c>
      <c r="D61" s="425">
        <v>123</v>
      </c>
      <c r="E61" s="425">
        <v>46877</v>
      </c>
      <c r="F61" s="280">
        <v>69427</v>
      </c>
      <c r="G61" s="425">
        <v>9786</v>
      </c>
      <c r="H61" s="425">
        <v>33153</v>
      </c>
      <c r="I61" s="425">
        <v>7078</v>
      </c>
      <c r="J61" s="425">
        <v>736</v>
      </c>
      <c r="K61" s="504"/>
      <c r="L61" s="504"/>
      <c r="M61" s="280">
        <v>3450</v>
      </c>
      <c r="N61" s="233"/>
      <c r="O61" s="7" t="s">
        <v>46</v>
      </c>
      <c r="P61" s="425">
        <f>(B61*1000)/SUM('Population Figures'!$AC21:$AE21)</f>
        <v>733.97879009059295</v>
      </c>
      <c r="Q61" s="280">
        <f>(C61/SUM('Population Figures'!AC21:AE21))*1000</f>
        <v>1.3782147610665065</v>
      </c>
      <c r="R61" s="425">
        <f>(D61/'Population Figures'!AC21)*1000</f>
        <v>2.6496628680984897</v>
      </c>
      <c r="S61" s="425">
        <f>(E61/'Population Figures'!AC21)*1000</f>
        <v>1009.823140389048</v>
      </c>
      <c r="T61" s="280">
        <f>(F61/'Population Figures'!AE21)*1000</f>
        <v>1541.1782987036052</v>
      </c>
      <c r="U61" s="425">
        <f>(G61/'Population Figures'!AD21)*1000</f>
        <v>69.187859248732693</v>
      </c>
      <c r="V61" s="425">
        <f>(H61/'Population Figures'!AD21)*1000</f>
        <v>234.39455320593038</v>
      </c>
      <c r="W61" s="425">
        <f>(I61/'Population Figures'!AD21)*1000</f>
        <v>50.042067010272831</v>
      </c>
      <c r="X61" s="500">
        <f>(J61/'Population Figures'!AD21)*1000</f>
        <v>5.2035831194632394</v>
      </c>
      <c r="Y61" s="504"/>
      <c r="Z61" s="504"/>
      <c r="AA61" s="501">
        <f>(M61/'Population Figures'!AD21)*1000</f>
        <v>24.391795872483932</v>
      </c>
    </row>
    <row r="62" spans="1:27">
      <c r="A62" s="7" t="s">
        <v>47</v>
      </c>
      <c r="B62" s="425">
        <v>69585</v>
      </c>
      <c r="C62" s="280">
        <v>904</v>
      </c>
      <c r="D62" s="425">
        <v>18</v>
      </c>
      <c r="E62" s="425">
        <v>12447</v>
      </c>
      <c r="F62" s="280">
        <v>32481</v>
      </c>
      <c r="G62" s="425">
        <v>3714</v>
      </c>
      <c r="H62" s="425">
        <v>11009</v>
      </c>
      <c r="I62" s="425">
        <v>4202</v>
      </c>
      <c r="J62" s="425">
        <v>2748</v>
      </c>
      <c r="K62" s="504"/>
      <c r="L62" s="504"/>
      <c r="M62" s="280">
        <v>2062</v>
      </c>
      <c r="N62" s="233"/>
      <c r="O62" s="7" t="s">
        <v>47</v>
      </c>
      <c r="P62" s="425">
        <f>(B62*1000)/SUM('Population Figures'!$AC22:$AE22)</f>
        <v>862.48140803173033</v>
      </c>
      <c r="Q62" s="280">
        <f>(C62/SUM('Population Figures'!AC22:AE22))*1000</f>
        <v>11.204759543877046</v>
      </c>
      <c r="R62" s="425">
        <f>(D62/'Population Figures'!AC22)*1000</f>
        <v>1.1701228629006044</v>
      </c>
      <c r="S62" s="425">
        <f>(E62/'Population Figures'!AC22)*1000</f>
        <v>809.13995969576797</v>
      </c>
      <c r="T62" s="280">
        <f>(F62/'Population Figures'!AE22)*1000</f>
        <v>2136.7673179396093</v>
      </c>
      <c r="U62" s="425">
        <f>(G62/'Population Figures'!AD22)*1000</f>
        <v>74.137655701053973</v>
      </c>
      <c r="V62" s="425">
        <f>(H62/'Population Figures'!AD22)*1000</f>
        <v>219.75806451612902</v>
      </c>
      <c r="W62" s="425">
        <f>(I62/'Population Figures'!AD22)*1000</f>
        <v>83.878952411370165</v>
      </c>
      <c r="X62" s="500">
        <f>(J62/'Population Figures'!AD22)*1000</f>
        <v>54.854679016288721</v>
      </c>
      <c r="Y62" s="504"/>
      <c r="Z62" s="504"/>
      <c r="AA62" s="501">
        <f>(M62/'Population Figures'!AD22)*1000</f>
        <v>41.160970935803256</v>
      </c>
    </row>
    <row r="63" spans="1:27">
      <c r="A63" s="7" t="s">
        <v>48</v>
      </c>
      <c r="B63" s="425">
        <v>58609</v>
      </c>
      <c r="C63" s="280">
        <v>1155</v>
      </c>
      <c r="D63" s="425">
        <v>114</v>
      </c>
      <c r="E63" s="425">
        <v>16027</v>
      </c>
      <c r="F63" s="280">
        <v>24034</v>
      </c>
      <c r="G63" s="425">
        <v>3609</v>
      </c>
      <c r="H63" s="425">
        <v>10094</v>
      </c>
      <c r="I63" s="425">
        <v>1966</v>
      </c>
      <c r="J63" s="425">
        <v>651</v>
      </c>
      <c r="K63" s="504"/>
      <c r="L63" s="504"/>
      <c r="M63" s="280">
        <v>959</v>
      </c>
      <c r="N63" s="233"/>
      <c r="O63" s="7" t="s">
        <v>48</v>
      </c>
      <c r="P63" s="425">
        <f>(B63*1000)/SUM('Population Figures'!$AC23:$AE23)</f>
        <v>695.73836657169988</v>
      </c>
      <c r="Q63" s="280">
        <f>(C63/SUM('Population Figures'!AC23:AE23))*1000</f>
        <v>13.710826210826211</v>
      </c>
      <c r="R63" s="425">
        <f>(D63/'Population Figures'!AC23)*1000</f>
        <v>6.3538067105116482</v>
      </c>
      <c r="S63" s="425">
        <f>(E63/'Population Figures'!AC23)*1000</f>
        <v>893.267194292721</v>
      </c>
      <c r="T63" s="280">
        <f>(F63/'Population Figures'!AE23)*1000</f>
        <v>1634.4100646038762</v>
      </c>
      <c r="U63" s="425">
        <f>(G63/'Population Figures'!AD23)*1000</f>
        <v>69.951349989339633</v>
      </c>
      <c r="V63" s="425">
        <f>(H63/'Population Figures'!AD23)*1000</f>
        <v>195.6466962572442</v>
      </c>
      <c r="W63" s="425">
        <f>(I63/'Population Figures'!AD23)*1000</f>
        <v>38.105944604888258</v>
      </c>
      <c r="X63" s="500">
        <f>(J63/'Population Figures'!AD23)*1000</f>
        <v>12.61799081270715</v>
      </c>
      <c r="Y63" s="504"/>
      <c r="Z63" s="504"/>
      <c r="AA63" s="501">
        <f>(M63/'Population Figures'!AD23)*1000</f>
        <v>18.587792917643867</v>
      </c>
    </row>
    <row r="64" spans="1:27">
      <c r="A64" s="7" t="s">
        <v>49</v>
      </c>
      <c r="B64" s="425">
        <v>62871</v>
      </c>
      <c r="C64" s="280">
        <v>406</v>
      </c>
      <c r="D64" s="425">
        <v>45</v>
      </c>
      <c r="E64" s="425">
        <v>16965</v>
      </c>
      <c r="F64" s="280">
        <v>26991</v>
      </c>
      <c r="G64" s="425">
        <v>3425</v>
      </c>
      <c r="H64" s="425">
        <v>11218</v>
      </c>
      <c r="I64" s="425">
        <v>2070</v>
      </c>
      <c r="J64" s="425">
        <v>851</v>
      </c>
      <c r="K64" s="504"/>
      <c r="L64" s="504"/>
      <c r="M64" s="280">
        <v>900</v>
      </c>
      <c r="N64" s="233"/>
      <c r="O64" s="7" t="s">
        <v>49</v>
      </c>
      <c r="P64" s="425">
        <f>(B64*1000)/SUM('Population Figures'!$AC24:$AE24)</f>
        <v>676.68711656441712</v>
      </c>
      <c r="Q64" s="280">
        <f>(C64/SUM('Population Figures'!AC24:AE24))*1000</f>
        <v>4.3698202561618773</v>
      </c>
      <c r="R64" s="425">
        <f>(D64/'Population Figures'!AC24)*1000</f>
        <v>2.3501148945059538</v>
      </c>
      <c r="S64" s="425">
        <f>(E64/'Population Figures'!AC24)*1000</f>
        <v>885.99331522874445</v>
      </c>
      <c r="T64" s="280">
        <f>(F64/'Population Figures'!AE24)*1000</f>
        <v>1503.50935828877</v>
      </c>
      <c r="U64" s="425">
        <f>(G64/'Population Figures'!AD24)*1000</f>
        <v>61.368930299229532</v>
      </c>
      <c r="V64" s="425">
        <f>(H64/'Population Figures'!AD24)*1000</f>
        <v>201.00340440781221</v>
      </c>
      <c r="W64" s="425">
        <f>(I64/'Population Figures'!AD24)*1000</f>
        <v>37.090127217344559</v>
      </c>
      <c r="X64" s="500">
        <f>(J64/'Population Figures'!AD24)*1000</f>
        <v>15.248163411574986</v>
      </c>
      <c r="Y64" s="504"/>
      <c r="Z64" s="504"/>
      <c r="AA64" s="501">
        <f>(M64/'Population Figures'!AD24)*1000</f>
        <v>16.126142268410678</v>
      </c>
    </row>
    <row r="65" spans="1:27">
      <c r="A65" s="7" t="s">
        <v>50</v>
      </c>
      <c r="B65" s="425">
        <v>110983</v>
      </c>
      <c r="C65" s="280">
        <v>1079</v>
      </c>
      <c r="D65" s="425">
        <v>144</v>
      </c>
      <c r="E65" s="425">
        <v>25610</v>
      </c>
      <c r="F65" s="280">
        <v>54066</v>
      </c>
      <c r="G65" s="425">
        <v>5692</v>
      </c>
      <c r="H65" s="425">
        <v>14621</v>
      </c>
      <c r="I65" s="425">
        <v>3233</v>
      </c>
      <c r="J65" s="425">
        <v>2010</v>
      </c>
      <c r="K65" s="504"/>
      <c r="L65" s="504"/>
      <c r="M65" s="280">
        <v>4528</v>
      </c>
      <c r="N65" s="233"/>
      <c r="O65" s="7" t="s">
        <v>50</v>
      </c>
      <c r="P65" s="425">
        <f>(B65*1000)/SUM('Population Figures'!$AC25:$AE25)</f>
        <v>806.7970340215179</v>
      </c>
      <c r="Q65" s="280">
        <f>(C65/SUM('Population Figures'!AC25:AE25))*1000</f>
        <v>7.8438499563826696</v>
      </c>
      <c r="R65" s="425">
        <f>(D65/'Population Figures'!AC25)*1000</f>
        <v>5.1998700032499192</v>
      </c>
      <c r="S65" s="425">
        <f>(E65/'Population Figures'!AC25)*1000</f>
        <v>924.78243599465566</v>
      </c>
      <c r="T65" s="280">
        <f>(F65/'Population Figures'!AE25)*1000</f>
        <v>1996.381360313123</v>
      </c>
      <c r="U65" s="425">
        <f>(G65/'Population Figures'!AD25)*1000</f>
        <v>68.756417225342759</v>
      </c>
      <c r="V65" s="425">
        <f>(H65/'Population Figures'!AD25)*1000</f>
        <v>176.61412091562482</v>
      </c>
      <c r="W65" s="425">
        <f>(I65/'Population Figures'!AD25)*1000</f>
        <v>39.052968532946792</v>
      </c>
      <c r="X65" s="500">
        <f>(J65/'Population Figures'!AD25)*1000</f>
        <v>24.279760826236636</v>
      </c>
      <c r="Y65" s="504"/>
      <c r="Z65" s="504"/>
      <c r="AA65" s="501">
        <f>(M65/'Population Figures'!AD25)*1000</f>
        <v>54.695899015522137</v>
      </c>
    </row>
    <row r="66" spans="1:27">
      <c r="A66" s="7" t="s">
        <v>51</v>
      </c>
      <c r="B66" s="425">
        <v>192891</v>
      </c>
      <c r="C66" s="280">
        <v>1559</v>
      </c>
      <c r="D66" s="425">
        <v>33</v>
      </c>
      <c r="E66" s="425">
        <v>30866</v>
      </c>
      <c r="F66" s="280">
        <v>84647</v>
      </c>
      <c r="G66" s="425">
        <v>8859</v>
      </c>
      <c r="H66" s="425">
        <v>46761</v>
      </c>
      <c r="I66" s="425">
        <v>10909</v>
      </c>
      <c r="J66" s="425">
        <v>1718</v>
      </c>
      <c r="K66" s="504"/>
      <c r="L66" s="504"/>
      <c r="M66" s="280">
        <v>7539</v>
      </c>
      <c r="N66" s="233"/>
      <c r="O66" s="7" t="s">
        <v>51</v>
      </c>
      <c r="P66" s="425">
        <f>(B66*1000)/SUM('Population Figures'!$AC26:$AE26)</f>
        <v>570.90301003344484</v>
      </c>
      <c r="Q66" s="280">
        <f>(C66/SUM('Population Figures'!AC26:AE26))*1000</f>
        <v>4.6142007280906858</v>
      </c>
      <c r="R66" s="425">
        <f>(D66/'Population Figures'!AC26)*1000</f>
        <v>0.45345242184816215</v>
      </c>
      <c r="S66" s="425">
        <f>(E66/'Population Figures'!AC26)*1000</f>
        <v>424.1291652353143</v>
      </c>
      <c r="T66" s="280">
        <f>(F66/'Population Figures'!AE26)*1000</f>
        <v>1617.7471141350049</v>
      </c>
      <c r="U66" s="425">
        <f>(G66/'Population Figures'!AD26)*1000</f>
        <v>41.636313219376696</v>
      </c>
      <c r="V66" s="425">
        <f>(H66/'Population Figures'!AD26)*1000</f>
        <v>219.77149141565343</v>
      </c>
      <c r="W66" s="425">
        <f>(I66/'Population Figures'!AD26)*1000</f>
        <v>51.271084875288452</v>
      </c>
      <c r="X66" s="500">
        <f>(J66/'Population Figures'!AD26)*1000</f>
        <v>8.0744086365153152</v>
      </c>
      <c r="Y66" s="504"/>
      <c r="Z66" s="504"/>
      <c r="AA66" s="501">
        <f>(M66/'Population Figures'!AD26)*1000</f>
        <v>35.43246025069206</v>
      </c>
    </row>
    <row r="67" spans="1:27">
      <c r="A67" s="7" t="s">
        <v>52</v>
      </c>
      <c r="B67" s="425">
        <v>21189</v>
      </c>
      <c r="C67" s="280">
        <v>351</v>
      </c>
      <c r="D67" s="425">
        <v>25</v>
      </c>
      <c r="E67" s="425">
        <v>2835</v>
      </c>
      <c r="F67" s="280">
        <v>12943</v>
      </c>
      <c r="G67" s="425">
        <v>1171</v>
      </c>
      <c r="H67" s="425">
        <v>3015</v>
      </c>
      <c r="I67" s="425">
        <v>519</v>
      </c>
      <c r="J67" s="425">
        <v>46</v>
      </c>
      <c r="K67" s="504"/>
      <c r="L67" s="504"/>
      <c r="M67" s="280">
        <v>284</v>
      </c>
      <c r="N67" s="233"/>
      <c r="O67" s="7" t="s">
        <v>52</v>
      </c>
      <c r="P67" s="425">
        <f>(B67*1000)/SUM('Population Figures'!$AC27:$AE27)</f>
        <v>984.1616349280074</v>
      </c>
      <c r="Q67" s="280">
        <f>(C67/SUM('Population Figures'!AC27:AE27))*1000</f>
        <v>16.302833255921971</v>
      </c>
      <c r="R67" s="425">
        <f>(D67/'Population Figures'!AC27)*1000</f>
        <v>6.0591371788657291</v>
      </c>
      <c r="S67" s="425">
        <f>(E67/'Population Figures'!AC27)*1000</f>
        <v>687.10615608337378</v>
      </c>
      <c r="T67" s="280">
        <f>(F67/'Population Figures'!AE27)*1000</f>
        <v>2908.5393258426966</v>
      </c>
      <c r="U67" s="425">
        <f>(G67/'Population Figures'!AD27)*1000</f>
        <v>90.396788636714533</v>
      </c>
      <c r="V67" s="425">
        <f>(H67/'Population Figures'!AD27)*1000</f>
        <v>232.74664196387215</v>
      </c>
      <c r="W67" s="425">
        <f>(I67/'Population Figures'!AD27)*1000</f>
        <v>40.064844835572025</v>
      </c>
      <c r="X67" s="500">
        <f>(J67/'Population Figures'!AD27)*1000</f>
        <v>3.5510267098965569</v>
      </c>
      <c r="Y67" s="504"/>
      <c r="Z67" s="504"/>
      <c r="AA67" s="501">
        <f>(M67/'Population Figures'!AD27)*1000</f>
        <v>21.923730121970049</v>
      </c>
    </row>
    <row r="68" spans="1:27">
      <c r="A68" s="7" t="s">
        <v>53</v>
      </c>
      <c r="B68" s="425">
        <v>88221</v>
      </c>
      <c r="C68" s="280">
        <v>380</v>
      </c>
      <c r="D68" s="425">
        <v>0</v>
      </c>
      <c r="E68" s="425">
        <v>17364</v>
      </c>
      <c r="F68" s="280">
        <v>44108</v>
      </c>
      <c r="G68" s="425">
        <v>3499</v>
      </c>
      <c r="H68" s="425">
        <v>14894</v>
      </c>
      <c r="I68" s="425">
        <v>4040</v>
      </c>
      <c r="J68" s="425">
        <v>997</v>
      </c>
      <c r="K68" s="504"/>
      <c r="L68" s="504"/>
      <c r="M68" s="280">
        <v>2939</v>
      </c>
      <c r="N68" s="233"/>
      <c r="O68" s="7" t="s">
        <v>53</v>
      </c>
      <c r="P68" s="425">
        <f>(B68*1000)/SUM('Population Figures'!$AC28:$AE28)</f>
        <v>597.1368620549614</v>
      </c>
      <c r="Q68" s="280">
        <f>(C68/SUM('Population Figures'!AC28:AE28))*1000</f>
        <v>2.5720860971977797</v>
      </c>
      <c r="R68" s="425">
        <f>(D68/'Population Figures'!AC28)*1000</f>
        <v>0</v>
      </c>
      <c r="S68" s="425">
        <f>(E68/'Population Figures'!AC28)*1000</f>
        <v>608.36661761614459</v>
      </c>
      <c r="T68" s="280">
        <f>(F68/'Population Figures'!AE28)*1000</f>
        <v>1424.0790365802475</v>
      </c>
      <c r="U68" s="425">
        <f>(G68/'Population Figures'!AD28)*1000</f>
        <v>39.659960328705019</v>
      </c>
      <c r="V68" s="425">
        <f>(H68/'Population Figures'!AD28)*1000</f>
        <v>168.81836214224992</v>
      </c>
      <c r="W68" s="425">
        <f>(I68/'Population Figures'!AD28)*1000</f>
        <v>45.792009067724571</v>
      </c>
      <c r="X68" s="500">
        <f>(J68/'Population Figures'!AD28)*1000</f>
        <v>11.300651742703316</v>
      </c>
      <c r="Y68" s="504"/>
      <c r="Z68" s="504"/>
      <c r="AA68" s="501">
        <f>(M68/'Population Figures'!AD28)*1000</f>
        <v>33.312553131198634</v>
      </c>
    </row>
    <row r="69" spans="1:27">
      <c r="A69" s="7" t="s">
        <v>54</v>
      </c>
      <c r="B69" s="425">
        <v>125370</v>
      </c>
      <c r="C69" s="280">
        <v>527</v>
      </c>
      <c r="D69" s="425">
        <v>0</v>
      </c>
      <c r="E69" s="425">
        <v>33285</v>
      </c>
      <c r="F69" s="280">
        <v>52715</v>
      </c>
      <c r="G69" s="425">
        <v>6313</v>
      </c>
      <c r="H69" s="425">
        <v>21882</v>
      </c>
      <c r="I69" s="425">
        <v>4372</v>
      </c>
      <c r="J69" s="425">
        <v>1812</v>
      </c>
      <c r="K69" s="504"/>
      <c r="L69" s="504"/>
      <c r="M69" s="280">
        <v>4464</v>
      </c>
      <c r="N69" s="233"/>
      <c r="O69" s="7" t="s">
        <v>54</v>
      </c>
      <c r="P69" s="425">
        <f>(B69*1000)/SUM('Population Figures'!$AC29:$AE29)</f>
        <v>719.23584418564622</v>
      </c>
      <c r="Q69" s="280">
        <f>(C69/SUM('Population Figures'!AC29:AE29))*1000</f>
        <v>3.0233492054385867</v>
      </c>
      <c r="R69" s="425">
        <f>(D69/'Population Figures'!AC29)*1000</f>
        <v>0</v>
      </c>
      <c r="S69" s="425">
        <f>(E69/'Population Figures'!AC29)*1000</f>
        <v>966.88453159041399</v>
      </c>
      <c r="T69" s="280">
        <f>(F69/'Population Figures'!AE29)*1000</f>
        <v>1724.5722511204895</v>
      </c>
      <c r="U69" s="425">
        <f>(G69/'Population Figures'!AD29)*1000</f>
        <v>57.748952597010557</v>
      </c>
      <c r="V69" s="425">
        <f>(H69/'Population Figures'!AD29)*1000</f>
        <v>200.16831628825992</v>
      </c>
      <c r="W69" s="425">
        <f>(I69/'Population Figures'!AD29)*1000</f>
        <v>39.993413710459393</v>
      </c>
      <c r="X69" s="500">
        <f>(J69/'Population Figures'!AD29)*1000</f>
        <v>16.575495343859199</v>
      </c>
      <c r="Y69" s="504"/>
      <c r="Z69" s="504"/>
      <c r="AA69" s="501">
        <f>(M69/'Population Figures'!AD29)*1000</f>
        <v>40.834995151759088</v>
      </c>
    </row>
    <row r="70" spans="1:27">
      <c r="A70" s="7" t="s">
        <v>55</v>
      </c>
      <c r="B70" s="425">
        <v>83559</v>
      </c>
      <c r="C70" s="280">
        <v>223</v>
      </c>
      <c r="D70" s="425">
        <v>23</v>
      </c>
      <c r="E70" s="425">
        <v>14482</v>
      </c>
      <c r="F70" s="280">
        <v>39004</v>
      </c>
      <c r="G70" s="425">
        <v>5445</v>
      </c>
      <c r="H70" s="425">
        <v>20211</v>
      </c>
      <c r="I70" s="425">
        <v>2466</v>
      </c>
      <c r="J70" s="425">
        <v>361</v>
      </c>
      <c r="K70" s="504"/>
      <c r="L70" s="504"/>
      <c r="M70" s="280">
        <v>1344</v>
      </c>
      <c r="N70" s="233"/>
      <c r="O70" s="7" t="s">
        <v>55</v>
      </c>
      <c r="P70" s="425">
        <f>(B70*1000)/SUM('Population Figures'!$AC30:$AE30)</f>
        <v>734.84302172192417</v>
      </c>
      <c r="Q70" s="280">
        <f>(C70/SUM('Population Figures'!AC30:AE30))*1000</f>
        <v>1.9611291882859907</v>
      </c>
      <c r="R70" s="425">
        <f>(D70/'Population Figures'!AC30)*1000</f>
        <v>1.0554816208526456</v>
      </c>
      <c r="S70" s="425">
        <f>(E70/'Population Figures'!AC30)*1000</f>
        <v>664.58629709513104</v>
      </c>
      <c r="T70" s="280">
        <f>(F70/'Population Figures'!AE30)*1000</f>
        <v>1564.1642605068978</v>
      </c>
      <c r="U70" s="425">
        <f>(G70/'Population Figures'!AD30)*1000</f>
        <v>81.289282355224472</v>
      </c>
      <c r="V70" s="425">
        <f>(H70/'Population Figures'!AD30)*1000</f>
        <v>301.73327560724363</v>
      </c>
      <c r="W70" s="425">
        <f>(I70/'Population Figures'!AD30)*1000</f>
        <v>36.815311347655374</v>
      </c>
      <c r="X70" s="500">
        <f>(J70/'Population Figures'!AD30)*1000</f>
        <v>5.3894271680874253</v>
      </c>
      <c r="Y70" s="504"/>
      <c r="Z70" s="504"/>
      <c r="AA70" s="501">
        <f>(M70/'Population Figures'!AD30)*1000</f>
        <v>20.064792559306092</v>
      </c>
    </row>
    <row r="71" spans="1:27">
      <c r="A71" s="7" t="s">
        <v>56</v>
      </c>
      <c r="B71" s="425">
        <v>37925</v>
      </c>
      <c r="C71" s="280">
        <v>164</v>
      </c>
      <c r="D71" s="425">
        <v>19</v>
      </c>
      <c r="E71" s="425">
        <v>5372</v>
      </c>
      <c r="F71" s="280">
        <v>20126</v>
      </c>
      <c r="G71" s="425">
        <v>3225</v>
      </c>
      <c r="H71" s="425">
        <v>5807</v>
      </c>
      <c r="I71" s="425">
        <v>2003</v>
      </c>
      <c r="J71" s="425">
        <v>798</v>
      </c>
      <c r="K71" s="504"/>
      <c r="L71" s="504"/>
      <c r="M71" s="280">
        <v>411</v>
      </c>
      <c r="N71" s="233"/>
      <c r="O71" s="7" t="s">
        <v>56</v>
      </c>
      <c r="P71" s="425">
        <f>(B71*1000)/SUM('Population Figures'!$AC31:$AE31)</f>
        <v>1633.9939681171909</v>
      </c>
      <c r="Q71" s="280">
        <f>(C71/SUM('Population Figures'!AC31:AE31))*1000</f>
        <v>7.0659198621283936</v>
      </c>
      <c r="R71" s="425">
        <f>(D71/'Population Figures'!AC31)*1000</f>
        <v>3.7924151696606785</v>
      </c>
      <c r="S71" s="425">
        <f>(E71/'Population Figures'!AC31)*1000</f>
        <v>1072.255489021956</v>
      </c>
      <c r="T71" s="280">
        <f>(F71/'Population Figures'!AE31)*1000</f>
        <v>5054.2440984429932</v>
      </c>
      <c r="U71" s="425">
        <f>(G71/'Population Figures'!AD31)*1000</f>
        <v>226.82515121676747</v>
      </c>
      <c r="V71" s="425">
        <f>(H71/'Population Figures'!AD31)*1000</f>
        <v>408.42593895062595</v>
      </c>
      <c r="W71" s="425">
        <f>(I71/'Population Figures'!AD31)*1000</f>
        <v>140.87776058517375</v>
      </c>
      <c r="X71" s="500">
        <f>(J71/'Population Figures'!AD31)*1000</f>
        <v>56.126037417358276</v>
      </c>
      <c r="Y71" s="504"/>
      <c r="Z71" s="504"/>
      <c r="AA71" s="501">
        <f>(M71/'Population Figures'!AD31)*1000</f>
        <v>28.907019271346179</v>
      </c>
    </row>
    <row r="72" spans="1:27">
      <c r="A72" s="7" t="s">
        <v>57</v>
      </c>
      <c r="B72" s="425">
        <v>89383</v>
      </c>
      <c r="C72" s="280">
        <v>0</v>
      </c>
      <c r="D72" s="425">
        <v>74</v>
      </c>
      <c r="E72" s="425">
        <v>18416</v>
      </c>
      <c r="F72" s="280">
        <v>44284</v>
      </c>
      <c r="G72" s="425">
        <v>3822</v>
      </c>
      <c r="H72" s="425">
        <v>16605</v>
      </c>
      <c r="I72" s="425">
        <v>3754</v>
      </c>
      <c r="J72" s="425">
        <v>795</v>
      </c>
      <c r="K72" s="504"/>
      <c r="L72" s="504"/>
      <c r="M72" s="280">
        <v>1633</v>
      </c>
      <c r="O72" s="7" t="s">
        <v>57</v>
      </c>
      <c r="P72" s="425">
        <f>(B72*1000)/SUM('Population Figures'!$AC32:$AE32)</f>
        <v>791.63050216986983</v>
      </c>
      <c r="Q72" s="280">
        <f>(C72/SUM('Population Figures'!AC32:AE32))*1000</f>
        <v>0</v>
      </c>
      <c r="R72" s="425">
        <f>(D72/'Population Figures'!AC32)*1000</f>
        <v>3.555811830282062</v>
      </c>
      <c r="S72" s="425">
        <f>(E72/'Population Figures'!AC32)*1000</f>
        <v>884.91663062803332</v>
      </c>
      <c r="T72" s="280">
        <f>(F72/'Population Figures'!AE32)*1000</f>
        <v>1753.1968803198861</v>
      </c>
      <c r="U72" s="425">
        <f>(G72/'Population Figures'!AD32)*1000</f>
        <v>57.181328545780971</v>
      </c>
      <c r="V72" s="425">
        <f>(H72/'Population Figures'!AD32)*1000</f>
        <v>248.42908438061042</v>
      </c>
      <c r="W72" s="425">
        <f>(I72/'Population Figures'!AD32)*1000</f>
        <v>56.163973668461999</v>
      </c>
      <c r="X72" s="500">
        <f>(J72/'Population Figures'!AD32)*1000</f>
        <v>11.89407540394973</v>
      </c>
      <c r="Y72" s="504"/>
      <c r="Z72" s="504"/>
      <c r="AA72" s="501">
        <f>(M72/'Population Figures'!AD32)*1000</f>
        <v>24.431478156792338</v>
      </c>
    </row>
    <row r="73" spans="1:27">
      <c r="A73" s="7" t="s">
        <v>58</v>
      </c>
      <c r="B73" s="425">
        <v>190012</v>
      </c>
      <c r="C73" s="280">
        <v>841</v>
      </c>
      <c r="D73" s="425">
        <v>85</v>
      </c>
      <c r="E73" s="425">
        <v>31983</v>
      </c>
      <c r="F73" s="280">
        <v>95180</v>
      </c>
      <c r="G73" s="425">
        <v>11972</v>
      </c>
      <c r="H73" s="425">
        <v>35432</v>
      </c>
      <c r="I73" s="425">
        <v>6953</v>
      </c>
      <c r="J73" s="425">
        <v>1251</v>
      </c>
      <c r="K73" s="504"/>
      <c r="L73" s="504"/>
      <c r="M73" s="280">
        <v>6315</v>
      </c>
      <c r="O73" s="7" t="s">
        <v>58</v>
      </c>
      <c r="P73" s="425">
        <f>(B73*1000)/SUM('Population Figures'!$AC33:$AE33)</f>
        <v>604.44076854561649</v>
      </c>
      <c r="Q73" s="280">
        <f>(C73/SUM('Population Figures'!AC33:AE33))*1000</f>
        <v>2.6752767527675281</v>
      </c>
      <c r="R73" s="425">
        <f>(D73/'Population Figures'!AC33)*1000</f>
        <v>1.3540422142572679</v>
      </c>
      <c r="S73" s="425">
        <f>(E73/'Population Figures'!AC33)*1000</f>
        <v>509.48626045400238</v>
      </c>
      <c r="T73" s="280">
        <f>(F73/'Population Figures'!AE33)*1000</f>
        <v>1729.9478362020393</v>
      </c>
      <c r="U73" s="425">
        <f>(G73/'Population Figures'!AD33)*1000</f>
        <v>60.905751757679354</v>
      </c>
      <c r="V73" s="425">
        <f>(H73/'Population Figures'!AD33)*1000</f>
        <v>180.25497797177539</v>
      </c>
      <c r="W73" s="425">
        <f>(I73/'Population Figures'!AD33)*1000</f>
        <v>35.372343131569039</v>
      </c>
      <c r="X73" s="500">
        <f>(J73/'Population Figures'!AD33)*1000</f>
        <v>6.3642745947925885</v>
      </c>
      <c r="Y73" s="504"/>
      <c r="Z73" s="504"/>
      <c r="AA73" s="501">
        <f>(M73/'Population Figures'!AD33)*1000</f>
        <v>32.126613961722782</v>
      </c>
    </row>
    <row r="74" spans="1:27">
      <c r="A74" s="7" t="s">
        <v>59</v>
      </c>
      <c r="B74" s="425">
        <v>57240</v>
      </c>
      <c r="C74" s="280">
        <v>923</v>
      </c>
      <c r="D74" s="425">
        <v>0</v>
      </c>
      <c r="E74" s="425">
        <v>11133</v>
      </c>
      <c r="F74" s="280">
        <v>25752</v>
      </c>
      <c r="G74" s="425">
        <v>3043</v>
      </c>
      <c r="H74" s="425">
        <v>10949</v>
      </c>
      <c r="I74" s="425">
        <v>2842</v>
      </c>
      <c r="J74" s="425">
        <v>450</v>
      </c>
      <c r="K74" s="504"/>
      <c r="L74" s="504"/>
      <c r="M74" s="280">
        <v>2148</v>
      </c>
      <c r="O74" s="7" t="s">
        <v>59</v>
      </c>
      <c r="P74" s="425">
        <f>(B74*1000)/SUM('Population Figures'!$AC34:$AE34)</f>
        <v>628.87277521423857</v>
      </c>
      <c r="Q74" s="280">
        <f>(C74/SUM('Population Figures'!AC34:AE34))*1000</f>
        <v>10.14062843331136</v>
      </c>
      <c r="R74" s="425">
        <f>(D74/'Population Figures'!AC34)*1000</f>
        <v>0</v>
      </c>
      <c r="S74" s="425">
        <f>(E74/'Population Figures'!AC34)*1000</f>
        <v>607.86240786240785</v>
      </c>
      <c r="T74" s="280">
        <f>(F74/'Population Figures'!AE34)*1000</f>
        <v>1582.6931350255056</v>
      </c>
      <c r="U74" s="425">
        <f>(G74/'Population Figures'!AD34)*1000</f>
        <v>53.921394903781412</v>
      </c>
      <c r="V74" s="425">
        <f>(H74/'Population Figures'!AD34)*1000</f>
        <v>194.01424673069425</v>
      </c>
      <c r="W74" s="425">
        <f>(I74/'Population Figures'!AD34)*1000</f>
        <v>50.359712230215827</v>
      </c>
      <c r="X74" s="500">
        <f>(J74/'Population Figures'!AD34)*1000</f>
        <v>7.9739164333557779</v>
      </c>
      <c r="Y74" s="504"/>
      <c r="Z74" s="504"/>
      <c r="AA74" s="501">
        <f>(M74/'Population Figures'!AD34)*1000</f>
        <v>38.062161108551578</v>
      </c>
    </row>
    <row r="75" spans="1:27">
      <c r="A75" s="7" t="s">
        <v>60</v>
      </c>
      <c r="B75" s="425">
        <v>72884</v>
      </c>
      <c r="C75" s="280">
        <v>1113</v>
      </c>
      <c r="D75" s="425">
        <v>40</v>
      </c>
      <c r="E75" s="425">
        <v>16761</v>
      </c>
      <c r="F75" s="280">
        <v>32565</v>
      </c>
      <c r="G75" s="425">
        <v>4537</v>
      </c>
      <c r="H75" s="425">
        <v>11079</v>
      </c>
      <c r="I75" s="425">
        <v>2906</v>
      </c>
      <c r="J75" s="425">
        <v>1698</v>
      </c>
      <c r="K75" s="504"/>
      <c r="L75" s="504"/>
      <c r="M75" s="280">
        <v>2185</v>
      </c>
      <c r="O75" s="7" t="s">
        <v>60</v>
      </c>
      <c r="P75" s="425">
        <f>(B75*1000)/SUM('Population Figures'!$AC35:$AE35)</f>
        <v>806.77440779278277</v>
      </c>
      <c r="Q75" s="280">
        <f>(C75/SUM('Population Figures'!AC35:AE35))*1000</f>
        <v>12.320123976090326</v>
      </c>
      <c r="R75" s="425">
        <f>(D75/'Population Figures'!AC35)*1000</f>
        <v>2.2099447513812156</v>
      </c>
      <c r="S75" s="425">
        <f>(E75/'Population Figures'!AC35)*1000</f>
        <v>926.02209944751382</v>
      </c>
      <c r="T75" s="280">
        <f>(F75/'Population Figures'!AE35)*1000</f>
        <v>2132.4733154344835</v>
      </c>
      <c r="U75" s="425">
        <f>(G75/'Population Figures'!AD35)*1000</f>
        <v>79.639804103986378</v>
      </c>
      <c r="V75" s="425">
        <f>(H75/'Population Figures'!AD35)*1000</f>
        <v>194.47418771612632</v>
      </c>
      <c r="W75" s="425">
        <f>(I75/'Population Figures'!AD35)*1000</f>
        <v>51.010198529024557</v>
      </c>
      <c r="X75" s="500">
        <f>(J75/'Population Figures'!AD35)*1000</f>
        <v>29.80568379294002</v>
      </c>
      <c r="Y75" s="504"/>
      <c r="Z75" s="504"/>
      <c r="AA75" s="501">
        <f>(M75/'Population Figures'!AD35)*1000</f>
        <v>38.35419263108006</v>
      </c>
    </row>
    <row r="76" spans="1:27">
      <c r="A76" s="7" t="s">
        <v>61</v>
      </c>
      <c r="B76" s="425">
        <v>87322</v>
      </c>
      <c r="C76" s="280">
        <v>1010</v>
      </c>
      <c r="D76" s="425">
        <v>63</v>
      </c>
      <c r="E76" s="425">
        <v>22026</v>
      </c>
      <c r="F76" s="280">
        <v>36875</v>
      </c>
      <c r="G76" s="425">
        <v>5950</v>
      </c>
      <c r="H76" s="425">
        <v>13799</v>
      </c>
      <c r="I76" s="425">
        <v>4356</v>
      </c>
      <c r="J76" s="425">
        <v>629</v>
      </c>
      <c r="K76" s="504"/>
      <c r="L76" s="504"/>
      <c r="M76" s="280">
        <v>2614</v>
      </c>
      <c r="O76" s="7" t="s">
        <v>61</v>
      </c>
      <c r="P76" s="425">
        <f>(B76*1000)/SUM('Population Figures'!$AC36:$AE36)</f>
        <v>496.17591908631169</v>
      </c>
      <c r="Q76" s="280">
        <f>(C76/SUM('Population Figures'!AC36:AE36))*1000</f>
        <v>5.7389624410477866</v>
      </c>
      <c r="R76" s="425">
        <f>(D76/'Population Figures'!AC36)*1000</f>
        <v>1.5835909810723172</v>
      </c>
      <c r="S76" s="425">
        <f>(E76/'Population Figures'!AC36)*1000</f>
        <v>553.65357062061685</v>
      </c>
      <c r="T76" s="280">
        <f>(F76/'Population Figures'!AE36)*1000</f>
        <v>1462.5391663030975</v>
      </c>
      <c r="U76" s="425">
        <f>(G76/'Population Figures'!AD36)*1000</f>
        <v>53.606501252319944</v>
      </c>
      <c r="V76" s="425">
        <f>(H76/'Population Figures'!AD36)*1000</f>
        <v>124.3220354253383</v>
      </c>
      <c r="W76" s="425">
        <f>(I76/'Population Figures'!AD36)*1000</f>
        <v>39.245364614303476</v>
      </c>
      <c r="X76" s="500">
        <f>(J76/'Population Figures'!AD36)*1000</f>
        <v>5.666972989530966</v>
      </c>
      <c r="Y76" s="504"/>
      <c r="Z76" s="504"/>
      <c r="AA76" s="501">
        <f>(M76/'Population Figures'!AD36)*1000</f>
        <v>23.550822566985602</v>
      </c>
    </row>
    <row r="77" spans="1:27">
      <c r="A77" s="52" t="s">
        <v>5</v>
      </c>
      <c r="B77" s="53">
        <f>SUM(B45:B76)</f>
        <v>3785476</v>
      </c>
      <c r="C77" s="52">
        <f t="shared" ref="C77:J77" si="33">SUM(C45:C76)</f>
        <v>25593</v>
      </c>
      <c r="D77" s="53">
        <f t="shared" si="33"/>
        <v>2496</v>
      </c>
      <c r="E77" s="53">
        <f t="shared" si="33"/>
        <v>837106</v>
      </c>
      <c r="F77" s="52">
        <f t="shared" si="33"/>
        <v>1681644</v>
      </c>
      <c r="G77" s="53">
        <f t="shared" si="33"/>
        <v>211784</v>
      </c>
      <c r="H77" s="53">
        <f t="shared" si="33"/>
        <v>696499</v>
      </c>
      <c r="I77" s="53">
        <f t="shared" si="33"/>
        <v>156491</v>
      </c>
      <c r="J77" s="53">
        <f t="shared" si="33"/>
        <v>63116</v>
      </c>
      <c r="K77" s="505"/>
      <c r="L77" s="505"/>
      <c r="M77" s="52">
        <f t="shared" ref="M77" si="34">SUM(M45:M76)</f>
        <v>110747</v>
      </c>
      <c r="N77" s="1"/>
      <c r="O77" s="52" t="s">
        <v>5</v>
      </c>
      <c r="P77" s="53">
        <f>(B77*1000)/SUM('Population Figures'!$AC37:$AE37)</f>
        <v>712.41267690454686</v>
      </c>
      <c r="Q77" s="52">
        <f>(C77/SUM('Population Figures'!AC37:AE37))*1000</f>
        <v>4.8165085817524842</v>
      </c>
      <c r="R77" s="53">
        <f>(D77/'Population Figures'!AC37)*1000</f>
        <v>2.4035498582521875</v>
      </c>
      <c r="S77" s="53">
        <f>(E77/'Population Figures'!AC37)*1000</f>
        <v>806.10016331813142</v>
      </c>
      <c r="T77" s="52">
        <f>(F77/'Population Figures'!AE37)*1000</f>
        <v>1816.5186967121829</v>
      </c>
      <c r="U77" s="53">
        <f>(G77/'Population Figures'!AD37)*1000</f>
        <v>63.230712503937291</v>
      </c>
      <c r="V77" s="53">
        <f>(H77/'Population Figures'!AD37)*1000</f>
        <v>207.94832484172468</v>
      </c>
      <c r="W77" s="53">
        <f>(I77/'Population Figures'!AD37)*1000</f>
        <v>46.722308722347535</v>
      </c>
      <c r="X77" s="445">
        <f>(J77/'Population Figures'!AD37)*1000</f>
        <v>18.844056446183405</v>
      </c>
      <c r="Y77" s="505"/>
      <c r="Z77" s="505"/>
      <c r="AA77" s="446">
        <f>(M77/'Population Figures'!AD37)*1000</f>
        <v>33.064876089192495</v>
      </c>
    </row>
  </sheetData>
  <mergeCells count="4">
    <mergeCell ref="B1:M1"/>
    <mergeCell ref="O1:Z1"/>
    <mergeCell ref="B43:M43"/>
    <mergeCell ref="O43:Z43"/>
  </mergeCells>
  <hyperlinks>
    <hyperlink ref="A37" r:id="rId1" display="Annex B, 2012/13"/>
  </hyperlinks>
  <pageMargins left="0.7" right="0.7" top="0.75" bottom="0.75" header="0.3" footer="0.3"/>
  <pageSetup paperSize="9" scale="94"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5"/>
  <sheetViews>
    <sheetView zoomScaleNormal="100" workbookViewId="0">
      <selection activeCell="I13" sqref="I13"/>
    </sheetView>
  </sheetViews>
  <sheetFormatPr defaultRowHeight="12.75"/>
  <cols>
    <col min="1" max="1" width="24.85546875" customWidth="1"/>
    <col min="2" max="12" width="7.5703125" bestFit="1" customWidth="1"/>
  </cols>
  <sheetData>
    <row r="1" spans="1:13">
      <c r="A1" s="1" t="s">
        <v>368</v>
      </c>
      <c r="B1" s="421" t="s">
        <v>2</v>
      </c>
      <c r="C1" s="421" t="s">
        <v>3</v>
      </c>
      <c r="D1" s="421" t="s">
        <v>4</v>
      </c>
      <c r="E1" s="421" t="s">
        <v>0</v>
      </c>
      <c r="F1" s="421" t="s">
        <v>1</v>
      </c>
      <c r="G1" s="421" t="s">
        <v>28</v>
      </c>
      <c r="H1" s="421" t="s">
        <v>65</v>
      </c>
      <c r="I1" s="421" t="s">
        <v>267</v>
      </c>
      <c r="J1" s="421" t="s">
        <v>315</v>
      </c>
      <c r="K1" s="421" t="s">
        <v>322</v>
      </c>
      <c r="L1" s="421" t="s">
        <v>369</v>
      </c>
      <c r="M1" s="421" t="s">
        <v>382</v>
      </c>
    </row>
    <row r="2" spans="1:13">
      <c r="A2" s="421" t="s">
        <v>375</v>
      </c>
      <c r="B2" s="555">
        <f t="shared" ref="B2:M2" si="0">B3/$D$3*100</f>
        <v>94.221114779854915</v>
      </c>
      <c r="C2" s="555">
        <f t="shared" si="0"/>
        <v>97.158428359253207</v>
      </c>
      <c r="D2" s="555">
        <f t="shared" si="0"/>
        <v>100</v>
      </c>
      <c r="E2" s="555">
        <f t="shared" si="0"/>
        <v>102.95572549067744</v>
      </c>
      <c r="F2" s="555">
        <f t="shared" si="0"/>
        <v>105.89058414857186</v>
      </c>
      <c r="G2" s="555">
        <f t="shared" si="0"/>
        <v>108.69533196676038</v>
      </c>
      <c r="H2" s="555">
        <f t="shared" si="0"/>
        <v>111.26563478132788</v>
      </c>
      <c r="I2" s="555">
        <f t="shared" si="0"/>
        <v>114.60555548736329</v>
      </c>
      <c r="J2" s="555">
        <f t="shared" si="0"/>
        <v>116.38537357767986</v>
      </c>
      <c r="K2" s="555">
        <f t="shared" si="0"/>
        <v>118.51747290380392</v>
      </c>
      <c r="L2" s="555">
        <f t="shared" si="0"/>
        <v>121.01412807325487</v>
      </c>
      <c r="M2" s="555">
        <f t="shared" si="0"/>
        <v>122.74607519424568</v>
      </c>
    </row>
    <row r="3" spans="1:13">
      <c r="A3" s="421" t="s">
        <v>369</v>
      </c>
      <c r="B3" s="555">
        <v>76.760999999999996</v>
      </c>
      <c r="C3" s="555">
        <v>79.153999999999996</v>
      </c>
      <c r="D3" s="555">
        <v>81.468999999999994</v>
      </c>
      <c r="E3" s="555">
        <v>83.876999999999995</v>
      </c>
      <c r="F3" s="555">
        <v>86.268000000000001</v>
      </c>
      <c r="G3" s="555">
        <v>88.552999999999997</v>
      </c>
      <c r="H3" s="555">
        <v>90.647000000000006</v>
      </c>
      <c r="I3" s="555">
        <v>93.367999999999995</v>
      </c>
      <c r="J3" s="555">
        <v>94.817999999999998</v>
      </c>
      <c r="K3" s="555">
        <v>96.555000000000007</v>
      </c>
      <c r="L3" s="555">
        <v>98.588999999999999</v>
      </c>
      <c r="M3">
        <v>100</v>
      </c>
    </row>
    <row r="4" spans="1:13">
      <c r="B4" s="603"/>
      <c r="C4" s="603"/>
      <c r="D4" s="603"/>
      <c r="E4" s="603"/>
      <c r="F4" s="603"/>
      <c r="G4" s="603"/>
      <c r="H4" s="603"/>
      <c r="I4" s="603"/>
      <c r="J4" s="603"/>
      <c r="K4" s="603"/>
      <c r="L4" s="603"/>
      <c r="M4" s="603"/>
    </row>
    <row r="5" spans="1:13">
      <c r="A5" s="85" t="s">
        <v>377</v>
      </c>
    </row>
  </sheetData>
  <hyperlinks>
    <hyperlink ref="A5"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M2:R37"/>
  <sheetViews>
    <sheetView workbookViewId="0">
      <selection activeCell="O19" sqref="O19"/>
    </sheetView>
  </sheetViews>
  <sheetFormatPr defaultRowHeight="12.75"/>
  <cols>
    <col min="13" max="13" width="18.7109375" bestFit="1" customWidth="1"/>
    <col min="17" max="17" width="18.7109375" bestFit="1" customWidth="1"/>
  </cols>
  <sheetData>
    <row r="2" spans="13:18">
      <c r="N2" t="s">
        <v>254</v>
      </c>
      <c r="O2" t="s">
        <v>255</v>
      </c>
    </row>
    <row r="3" spans="13:18">
      <c r="M3" s="263" t="s">
        <v>52</v>
      </c>
      <c r="N3" s="267">
        <v>38</v>
      </c>
      <c r="O3" s="18">
        <v>0</v>
      </c>
      <c r="P3" s="18"/>
    </row>
    <row r="4" spans="13:18">
      <c r="M4" s="263" t="s">
        <v>56</v>
      </c>
      <c r="N4" s="267">
        <v>37</v>
      </c>
      <c r="O4" s="18">
        <v>0</v>
      </c>
      <c r="P4" s="18"/>
      <c r="R4" t="s">
        <v>224</v>
      </c>
    </row>
    <row r="5" spans="13:18">
      <c r="M5" s="263" t="s">
        <v>42</v>
      </c>
      <c r="N5" s="267">
        <v>26</v>
      </c>
      <c r="O5" s="18">
        <v>0</v>
      </c>
      <c r="P5" s="18"/>
      <c r="Q5" t="s">
        <v>31</v>
      </c>
      <c r="R5" s="18">
        <v>0.1348314606741573</v>
      </c>
    </row>
    <row r="6" spans="13:18">
      <c r="M6" s="263" t="s">
        <v>49</v>
      </c>
      <c r="N6" s="267">
        <v>33</v>
      </c>
      <c r="O6" s="18">
        <v>1.7241379310344827E-2</v>
      </c>
      <c r="P6" s="18"/>
      <c r="Q6" t="s">
        <v>32</v>
      </c>
      <c r="R6" s="18">
        <v>2.6578073089700997E-2</v>
      </c>
    </row>
    <row r="7" spans="13:18">
      <c r="M7" s="263" t="s">
        <v>40</v>
      </c>
      <c r="N7" s="267">
        <v>36</v>
      </c>
      <c r="O7" s="18">
        <v>2.5000000000000001E-2</v>
      </c>
      <c r="P7" s="18"/>
      <c r="Q7" t="s">
        <v>33</v>
      </c>
      <c r="R7" s="18">
        <v>6.3380281690140844E-2</v>
      </c>
    </row>
    <row r="8" spans="13:18">
      <c r="M8" s="263" t="s">
        <v>32</v>
      </c>
      <c r="N8" s="267">
        <v>39</v>
      </c>
      <c r="O8" s="18">
        <v>2.6578073089700997E-2</v>
      </c>
      <c r="P8" s="18"/>
      <c r="Q8" t="s">
        <v>34</v>
      </c>
      <c r="R8" s="18">
        <v>9.0163934426229511E-2</v>
      </c>
    </row>
    <row r="9" spans="13:18">
      <c r="M9" s="263" t="s">
        <v>55</v>
      </c>
      <c r="N9" s="267">
        <v>42</v>
      </c>
      <c r="O9" s="18">
        <v>4.6153846153846156E-2</v>
      </c>
      <c r="P9" s="18"/>
      <c r="Q9" t="s">
        <v>35</v>
      </c>
      <c r="R9" s="18">
        <v>0.265625</v>
      </c>
    </row>
    <row r="10" spans="13:18">
      <c r="M10" s="263" t="s">
        <v>39</v>
      </c>
      <c r="N10" s="267">
        <v>36</v>
      </c>
      <c r="O10" s="18">
        <v>4.7244094488188976E-2</v>
      </c>
      <c r="P10" s="18"/>
      <c r="Q10" t="s">
        <v>36</v>
      </c>
      <c r="R10" s="18">
        <v>8.2901554404145081E-2</v>
      </c>
    </row>
    <row r="11" spans="13:18">
      <c r="M11" s="263" t="s">
        <v>53</v>
      </c>
      <c r="N11" s="267">
        <v>36</v>
      </c>
      <c r="O11" s="18">
        <v>5.7142857142857141E-2</v>
      </c>
      <c r="P11" s="18"/>
      <c r="Q11" t="s">
        <v>37</v>
      </c>
      <c r="R11" s="18">
        <v>0.37988826815642457</v>
      </c>
    </row>
    <row r="12" spans="13:18">
      <c r="M12" s="263" t="s">
        <v>33</v>
      </c>
      <c r="N12" s="267">
        <v>40</v>
      </c>
      <c r="O12" s="18">
        <v>6.3380281690140844E-2</v>
      </c>
      <c r="P12" s="18"/>
      <c r="Q12" t="s">
        <v>38</v>
      </c>
      <c r="R12" s="18">
        <v>0.25974025974025972</v>
      </c>
    </row>
    <row r="13" spans="13:18">
      <c r="M13" s="263" t="s">
        <v>41</v>
      </c>
      <c r="N13" s="267">
        <v>43</v>
      </c>
      <c r="O13" s="18">
        <v>6.6666666666666666E-2</v>
      </c>
      <c r="P13" s="18"/>
      <c r="Q13" t="s">
        <v>39</v>
      </c>
      <c r="R13" s="18">
        <v>4.7244094488188976E-2</v>
      </c>
    </row>
    <row r="14" spans="13:18">
      <c r="M14" s="263" t="s">
        <v>46</v>
      </c>
      <c r="N14" s="267">
        <v>35</v>
      </c>
      <c r="O14" s="18">
        <v>8.2191780821917804E-2</v>
      </c>
      <c r="P14" s="18"/>
      <c r="Q14" t="s">
        <v>40</v>
      </c>
      <c r="R14" s="18">
        <v>2.5000000000000001E-2</v>
      </c>
    </row>
    <row r="15" spans="13:18">
      <c r="M15" s="263" t="s">
        <v>36</v>
      </c>
      <c r="N15" s="272">
        <v>23</v>
      </c>
      <c r="O15" s="18">
        <v>8.2901554404145081E-2</v>
      </c>
      <c r="P15" s="18"/>
      <c r="Q15" t="s">
        <v>41</v>
      </c>
      <c r="R15" s="18">
        <v>6.6666666666666666E-2</v>
      </c>
    </row>
    <row r="16" spans="13:18">
      <c r="M16" s="263" t="s">
        <v>48</v>
      </c>
      <c r="N16" s="267">
        <v>33</v>
      </c>
      <c r="O16" s="18">
        <v>8.9285714285714288E-2</v>
      </c>
      <c r="P16" s="18"/>
      <c r="Q16" t="s">
        <v>140</v>
      </c>
      <c r="R16" s="18">
        <v>0.13843351548269581</v>
      </c>
    </row>
    <row r="17" spans="13:18">
      <c r="M17" s="263" t="s">
        <v>34</v>
      </c>
      <c r="N17" s="267">
        <v>28</v>
      </c>
      <c r="O17" s="18">
        <v>9.0163934426229511E-2</v>
      </c>
      <c r="P17" s="18"/>
      <c r="Q17" t="s">
        <v>42</v>
      </c>
      <c r="R17" s="18">
        <v>0</v>
      </c>
    </row>
    <row r="18" spans="13:18">
      <c r="M18" s="263" t="s">
        <v>59</v>
      </c>
      <c r="N18" s="267">
        <v>29</v>
      </c>
      <c r="O18" s="18">
        <v>9.0909090909090912E-2</v>
      </c>
      <c r="P18" s="18"/>
      <c r="Q18" t="s">
        <v>43</v>
      </c>
      <c r="R18" s="18">
        <v>0.14720812182741116</v>
      </c>
    </row>
    <row r="19" spans="13:18">
      <c r="M19" s="263" t="s">
        <v>31</v>
      </c>
      <c r="N19" s="267">
        <v>21</v>
      </c>
      <c r="O19" s="18">
        <v>0.1348314606741573</v>
      </c>
      <c r="P19" s="18"/>
      <c r="Q19" t="s">
        <v>44</v>
      </c>
      <c r="R19" s="18">
        <v>0.17660044150110377</v>
      </c>
    </row>
    <row r="20" spans="13:18">
      <c r="M20" s="263" t="s">
        <v>140</v>
      </c>
      <c r="N20" s="267">
        <v>34</v>
      </c>
      <c r="O20" s="18">
        <v>0.13843351548269581</v>
      </c>
      <c r="P20" s="18"/>
      <c r="Q20" t="s">
        <v>45</v>
      </c>
      <c r="R20" s="18">
        <v>0.53458213256484155</v>
      </c>
    </row>
    <row r="21" spans="13:18">
      <c r="M21" s="263" t="s">
        <v>61</v>
      </c>
      <c r="N21" s="267">
        <v>48</v>
      </c>
      <c r="O21" s="18">
        <v>0.14218009478672985</v>
      </c>
      <c r="P21" s="18"/>
      <c r="Q21" t="s">
        <v>46</v>
      </c>
      <c r="R21" s="18">
        <v>8.2191780821917804E-2</v>
      </c>
    </row>
    <row r="22" spans="13:18">
      <c r="M22" s="263" t="s">
        <v>57</v>
      </c>
      <c r="N22" s="267">
        <v>33</v>
      </c>
      <c r="O22" s="18">
        <v>0.14285714285714285</v>
      </c>
      <c r="P22" s="18"/>
      <c r="Q22" t="s">
        <v>47</v>
      </c>
      <c r="R22" s="18">
        <v>0.44545454545454544</v>
      </c>
    </row>
    <row r="23" spans="13:18">
      <c r="M23" s="263" t="s">
        <v>43</v>
      </c>
      <c r="N23" s="267">
        <v>37</v>
      </c>
      <c r="O23" s="18">
        <v>0.14720812182741116</v>
      </c>
      <c r="P23" s="18"/>
      <c r="Q23" t="s">
        <v>48</v>
      </c>
      <c r="R23" s="18">
        <v>8.9285714285714288E-2</v>
      </c>
    </row>
    <row r="24" spans="13:18">
      <c r="M24" s="263" t="s">
        <v>44</v>
      </c>
      <c r="N24" s="267">
        <v>38</v>
      </c>
      <c r="O24" s="18">
        <v>0.17660044150110377</v>
      </c>
      <c r="P24" s="18"/>
      <c r="Q24" t="s">
        <v>49</v>
      </c>
      <c r="R24" s="18">
        <v>1.7241379310344827E-2</v>
      </c>
    </row>
    <row r="25" spans="13:18">
      <c r="M25" s="263" t="s">
        <v>58</v>
      </c>
      <c r="N25" s="267">
        <v>41</v>
      </c>
      <c r="O25" s="18">
        <v>0.20100502512562815</v>
      </c>
      <c r="P25" s="18"/>
      <c r="Q25" t="s">
        <v>50</v>
      </c>
      <c r="R25" s="18">
        <v>0.26815642458100558</v>
      </c>
    </row>
    <row r="26" spans="13:18">
      <c r="M26" s="263" t="s">
        <v>38</v>
      </c>
      <c r="N26" s="267">
        <v>36</v>
      </c>
      <c r="O26" s="18">
        <v>0.25974025974025972</v>
      </c>
      <c r="P26" s="18"/>
      <c r="Q26" t="s">
        <v>51</v>
      </c>
      <c r="R26" s="18">
        <v>0.31818181818181818</v>
      </c>
    </row>
    <row r="27" spans="13:18">
      <c r="M27" s="263" t="s">
        <v>35</v>
      </c>
      <c r="N27" s="267">
        <v>35</v>
      </c>
      <c r="O27" s="18">
        <v>0.265625</v>
      </c>
      <c r="P27" s="18"/>
      <c r="Q27" t="s">
        <v>52</v>
      </c>
      <c r="R27" s="18">
        <v>0</v>
      </c>
    </row>
    <row r="28" spans="13:18">
      <c r="M28" s="263" t="s">
        <v>50</v>
      </c>
      <c r="N28" s="267">
        <v>37</v>
      </c>
      <c r="O28" s="18">
        <v>0.26815642458100558</v>
      </c>
      <c r="P28" s="18"/>
      <c r="Q28" t="s">
        <v>53</v>
      </c>
      <c r="R28" s="18">
        <v>5.7142857142857141E-2</v>
      </c>
    </row>
    <row r="29" spans="13:18">
      <c r="M29" s="263" t="s">
        <v>54</v>
      </c>
      <c r="N29" s="267">
        <v>39</v>
      </c>
      <c r="O29" s="18">
        <v>0.28037383177570091</v>
      </c>
      <c r="P29" s="18"/>
      <c r="Q29" t="s">
        <v>54</v>
      </c>
      <c r="R29" s="18">
        <v>0.28037383177570091</v>
      </c>
    </row>
    <row r="30" spans="13:18">
      <c r="M30" s="263" t="s">
        <v>51</v>
      </c>
      <c r="N30" s="267">
        <v>43</v>
      </c>
      <c r="O30" s="18">
        <v>0.31818181818181818</v>
      </c>
      <c r="P30" s="18"/>
      <c r="Q30" t="s">
        <v>55</v>
      </c>
      <c r="R30" s="18">
        <v>4.6153846153846156E-2</v>
      </c>
    </row>
    <row r="31" spans="13:18">
      <c r="M31" s="263" t="s">
        <v>60</v>
      </c>
      <c r="N31" s="267">
        <v>39</v>
      </c>
      <c r="O31" s="18">
        <v>0.33898305084745761</v>
      </c>
      <c r="P31" s="18"/>
      <c r="Q31" t="s">
        <v>56</v>
      </c>
      <c r="R31" s="18">
        <v>0</v>
      </c>
    </row>
    <row r="32" spans="13:18" ht="13.5" thickBot="1">
      <c r="M32" s="263" t="s">
        <v>37</v>
      </c>
      <c r="N32" s="276">
        <v>40</v>
      </c>
      <c r="O32" s="18">
        <v>0.37988826815642457</v>
      </c>
      <c r="P32" s="18"/>
      <c r="Q32" t="s">
        <v>57</v>
      </c>
      <c r="R32" s="18">
        <v>0.14285714285714285</v>
      </c>
    </row>
    <row r="33" spans="13:18" ht="13.5" thickTop="1">
      <c r="M33" s="263" t="s">
        <v>47</v>
      </c>
      <c r="N33" s="267">
        <v>34</v>
      </c>
      <c r="O33" s="18">
        <v>0.44545454545454544</v>
      </c>
      <c r="P33" s="18"/>
      <c r="Q33" t="s">
        <v>58</v>
      </c>
      <c r="R33" s="18">
        <v>0.20100502512562815</v>
      </c>
    </row>
    <row r="34" spans="13:18">
      <c r="M34" s="263" t="s">
        <v>45</v>
      </c>
      <c r="N34" s="267">
        <v>34</v>
      </c>
      <c r="O34" s="18">
        <v>0.53458213256484155</v>
      </c>
      <c r="P34" s="18"/>
      <c r="Q34" t="s">
        <v>59</v>
      </c>
      <c r="R34" s="18">
        <v>9.0909090909090912E-2</v>
      </c>
    </row>
    <row r="35" spans="13:18">
      <c r="Q35" t="s">
        <v>60</v>
      </c>
      <c r="R35" s="18">
        <v>0.33898305084745761</v>
      </c>
    </row>
    <row r="36" spans="13:18">
      <c r="Q36" t="s">
        <v>61</v>
      </c>
      <c r="R36" s="18">
        <v>0.14218009478672985</v>
      </c>
    </row>
    <row r="37" spans="13:18">
      <c r="Q37" t="s">
        <v>5</v>
      </c>
      <c r="R37" s="18">
        <v>0.2</v>
      </c>
    </row>
  </sheetData>
  <sheetProtection selectLockedCells="1"/>
  <autoFilter ref="M2:O34"/>
  <phoneticPr fontId="5"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sheetPr>
  <dimension ref="K1:Q72"/>
  <sheetViews>
    <sheetView topLeftCell="A10" workbookViewId="0">
      <selection activeCell="J58" sqref="J58:K58"/>
    </sheetView>
  </sheetViews>
  <sheetFormatPr defaultRowHeight="12.75"/>
  <cols>
    <col min="11" max="11" width="21.42578125" customWidth="1"/>
  </cols>
  <sheetData>
    <row r="1" spans="11:16" ht="127.5">
      <c r="K1" s="263" t="s">
        <v>227</v>
      </c>
      <c r="L1" s="264" t="s">
        <v>228</v>
      </c>
      <c r="M1" s="264" t="s">
        <v>229</v>
      </c>
      <c r="N1" s="264" t="s">
        <v>230</v>
      </c>
      <c r="O1" s="264" t="s">
        <v>231</v>
      </c>
      <c r="P1" s="263"/>
    </row>
    <row r="2" spans="11:16">
      <c r="K2" s="263"/>
      <c r="L2" s="265" t="s">
        <v>232</v>
      </c>
      <c r="M2" s="263"/>
      <c r="N2" s="263"/>
      <c r="O2" s="263"/>
      <c r="P2" s="263"/>
    </row>
    <row r="3" spans="11:16">
      <c r="K3" s="263" t="s">
        <v>233</v>
      </c>
      <c r="L3" s="266">
        <v>133.66785230352303</v>
      </c>
      <c r="M3" s="267">
        <v>1</v>
      </c>
      <c r="N3" s="267">
        <v>13</v>
      </c>
      <c r="O3" s="267">
        <v>37</v>
      </c>
      <c r="P3" s="268" t="s">
        <v>234</v>
      </c>
    </row>
    <row r="4" spans="11:16">
      <c r="K4" s="263" t="s">
        <v>235</v>
      </c>
      <c r="L4" s="266">
        <v>82.121629974799106</v>
      </c>
      <c r="M4" s="267">
        <v>2</v>
      </c>
      <c r="N4" s="267">
        <v>11</v>
      </c>
      <c r="O4" s="267">
        <v>38</v>
      </c>
      <c r="P4" s="268" t="s">
        <v>236</v>
      </c>
    </row>
    <row r="5" spans="11:16">
      <c r="K5" s="263" t="s">
        <v>42</v>
      </c>
      <c r="L5" s="266">
        <v>53.68780143512528</v>
      </c>
      <c r="M5" s="267">
        <v>3</v>
      </c>
      <c r="N5" s="267">
        <v>30</v>
      </c>
      <c r="O5" s="267">
        <v>26</v>
      </c>
      <c r="P5" s="263"/>
    </row>
    <row r="6" spans="11:16">
      <c r="K6" s="263" t="s">
        <v>31</v>
      </c>
      <c r="L6" s="266">
        <v>21.93930769044173</v>
      </c>
      <c r="M6" s="267">
        <v>4</v>
      </c>
      <c r="N6" s="267">
        <v>32</v>
      </c>
      <c r="O6" s="267">
        <v>21</v>
      </c>
      <c r="P6" s="263"/>
    </row>
    <row r="7" spans="11:16">
      <c r="K7" s="263" t="s">
        <v>32</v>
      </c>
      <c r="L7" s="266">
        <v>20.631310259423532</v>
      </c>
      <c r="M7" s="267">
        <v>5</v>
      </c>
      <c r="N7" s="267">
        <v>8</v>
      </c>
      <c r="O7" s="267">
        <v>39</v>
      </c>
      <c r="P7" s="263"/>
    </row>
    <row r="8" spans="11:16">
      <c r="K8" s="263" t="s">
        <v>49</v>
      </c>
      <c r="L8" s="266">
        <v>20.307972341070997</v>
      </c>
      <c r="M8" s="267">
        <v>6</v>
      </c>
      <c r="N8" s="267">
        <v>25</v>
      </c>
      <c r="O8" s="267">
        <v>33</v>
      </c>
      <c r="P8" s="263"/>
    </row>
    <row r="9" spans="11:16">
      <c r="K9" s="263" t="s">
        <v>48</v>
      </c>
      <c r="L9" s="266">
        <v>19.820971867007671</v>
      </c>
      <c r="M9" s="267">
        <v>7</v>
      </c>
      <c r="N9" s="267">
        <v>25</v>
      </c>
      <c r="O9" s="267">
        <v>33</v>
      </c>
      <c r="P9" s="263"/>
    </row>
    <row r="10" spans="11:16">
      <c r="K10" s="263" t="s">
        <v>237</v>
      </c>
      <c r="L10" s="266">
        <v>18.88322195851358</v>
      </c>
      <c r="M10" s="267">
        <v>8</v>
      </c>
      <c r="N10" s="267">
        <v>22</v>
      </c>
      <c r="O10" s="267">
        <v>34</v>
      </c>
      <c r="P10" s="263"/>
    </row>
    <row r="11" spans="11:16">
      <c r="K11" s="263" t="s">
        <v>45</v>
      </c>
      <c r="L11" s="266">
        <v>16.612063386511664</v>
      </c>
      <c r="M11" s="267">
        <v>9</v>
      </c>
      <c r="N11" s="267">
        <v>22</v>
      </c>
      <c r="O11" s="267">
        <v>34</v>
      </c>
      <c r="P11" s="263"/>
    </row>
    <row r="12" spans="11:16">
      <c r="K12" s="263" t="s">
        <v>40</v>
      </c>
      <c r="L12" s="266">
        <v>15.997402316267994</v>
      </c>
      <c r="M12" s="267">
        <v>10</v>
      </c>
      <c r="N12" s="267">
        <v>16</v>
      </c>
      <c r="O12" s="267">
        <v>36</v>
      </c>
      <c r="P12" s="263"/>
    </row>
    <row r="13" spans="11:16">
      <c r="K13" s="263" t="s">
        <v>57</v>
      </c>
      <c r="L13" s="266">
        <v>14.89342938933887</v>
      </c>
      <c r="M13" s="267">
        <v>11</v>
      </c>
      <c r="N13" s="267">
        <v>25</v>
      </c>
      <c r="O13" s="267">
        <v>33</v>
      </c>
      <c r="P13" s="269" t="s">
        <v>238</v>
      </c>
    </row>
    <row r="14" spans="11:16">
      <c r="K14" s="263" t="s">
        <v>55</v>
      </c>
      <c r="L14" s="266">
        <v>14.225702157608817</v>
      </c>
      <c r="M14" s="270">
        <v>12</v>
      </c>
      <c r="N14" s="267">
        <v>4</v>
      </c>
      <c r="O14" s="267">
        <v>42</v>
      </c>
      <c r="P14" s="269" t="s">
        <v>239</v>
      </c>
    </row>
    <row r="15" spans="11:16">
      <c r="K15" s="263" t="s">
        <v>59</v>
      </c>
      <c r="L15" s="271">
        <v>13.548406695221605</v>
      </c>
      <c r="M15" s="272">
        <v>13</v>
      </c>
      <c r="N15" s="272">
        <v>28</v>
      </c>
      <c r="O15" s="272">
        <v>29</v>
      </c>
      <c r="P15" s="273" t="s">
        <v>240</v>
      </c>
    </row>
    <row r="16" spans="11:16">
      <c r="K16" s="263" t="s">
        <v>43</v>
      </c>
      <c r="L16" s="266">
        <v>11.175998678653171</v>
      </c>
      <c r="M16" s="270">
        <v>14</v>
      </c>
      <c r="N16" s="267">
        <v>13</v>
      </c>
      <c r="O16" s="267">
        <v>37</v>
      </c>
      <c r="P16" s="269" t="s">
        <v>241</v>
      </c>
    </row>
    <row r="17" spans="11:16">
      <c r="K17" s="263" t="s">
        <v>37</v>
      </c>
      <c r="L17" s="266">
        <v>10.760673451689112</v>
      </c>
      <c r="M17" s="270">
        <v>15</v>
      </c>
      <c r="N17" s="267">
        <v>6</v>
      </c>
      <c r="O17" s="267">
        <v>40</v>
      </c>
      <c r="P17" s="269" t="s">
        <v>242</v>
      </c>
    </row>
    <row r="18" spans="11:16">
      <c r="K18" s="263" t="s">
        <v>51</v>
      </c>
      <c r="L18" s="266">
        <v>9.9006809836905472</v>
      </c>
      <c r="M18" s="270">
        <v>16</v>
      </c>
      <c r="N18" s="267">
        <v>2</v>
      </c>
      <c r="O18" s="267">
        <v>43</v>
      </c>
      <c r="P18" s="269" t="s">
        <v>240</v>
      </c>
    </row>
    <row r="19" spans="11:16">
      <c r="K19" s="263" t="s">
        <v>46</v>
      </c>
      <c r="L19" s="266">
        <v>9.0901458453271928</v>
      </c>
      <c r="M19" s="270">
        <v>17</v>
      </c>
      <c r="N19" s="267">
        <v>20</v>
      </c>
      <c r="O19" s="267">
        <v>35</v>
      </c>
      <c r="P19" s="274"/>
    </row>
    <row r="20" spans="11:16">
      <c r="K20" s="263" t="s">
        <v>36</v>
      </c>
      <c r="L20" s="266">
        <v>8.8287381977846948</v>
      </c>
      <c r="M20" s="270">
        <v>18</v>
      </c>
      <c r="N20" s="267">
        <v>31</v>
      </c>
      <c r="O20" s="267">
        <v>23</v>
      </c>
      <c r="P20" s="274"/>
    </row>
    <row r="21" spans="11:16">
      <c r="K21" s="263" t="s">
        <v>60</v>
      </c>
      <c r="L21" s="266">
        <v>7.9734467689137762</v>
      </c>
      <c r="M21" s="270">
        <v>19</v>
      </c>
      <c r="N21" s="267">
        <v>8</v>
      </c>
      <c r="O21" s="267">
        <v>39</v>
      </c>
      <c r="P21" s="274"/>
    </row>
    <row r="22" spans="11:16">
      <c r="K22" s="263" t="s">
        <v>50</v>
      </c>
      <c r="L22" s="266">
        <v>7.8296361621780521</v>
      </c>
      <c r="M22" s="270">
        <v>20</v>
      </c>
      <c r="N22" s="267">
        <v>13</v>
      </c>
      <c r="O22" s="267">
        <v>37</v>
      </c>
      <c r="P22" s="274"/>
    </row>
    <row r="23" spans="11:16">
      <c r="K23" s="263" t="s">
        <v>44</v>
      </c>
      <c r="L23" s="266">
        <v>7.4202217234321672</v>
      </c>
      <c r="M23" s="270">
        <v>21</v>
      </c>
      <c r="N23" s="267">
        <v>11</v>
      </c>
      <c r="O23" s="267">
        <v>38</v>
      </c>
      <c r="P23" s="274"/>
    </row>
    <row r="24" spans="11:16">
      <c r="K24" s="263" t="s">
        <v>33</v>
      </c>
      <c r="L24" s="266">
        <v>7.2755254036271744</v>
      </c>
      <c r="M24" s="270">
        <v>22</v>
      </c>
      <c r="N24" s="267">
        <v>6</v>
      </c>
      <c r="O24" s="267">
        <v>40</v>
      </c>
      <c r="P24" s="274"/>
    </row>
    <row r="25" spans="11:16">
      <c r="K25" s="263" t="s">
        <v>54</v>
      </c>
      <c r="L25" s="266">
        <v>6.906671884171395</v>
      </c>
      <c r="M25" s="270">
        <v>23</v>
      </c>
      <c r="N25" s="267">
        <v>8</v>
      </c>
      <c r="O25" s="267">
        <v>39</v>
      </c>
    </row>
    <row r="26" spans="11:16">
      <c r="K26" s="263" t="s">
        <v>41</v>
      </c>
      <c r="L26" s="266">
        <v>6.8283337214471702</v>
      </c>
      <c r="M26" s="270">
        <v>24</v>
      </c>
      <c r="N26" s="267">
        <v>2</v>
      </c>
      <c r="O26" s="267">
        <v>43</v>
      </c>
    </row>
    <row r="27" spans="11:16">
      <c r="K27" s="263" t="s">
        <v>61</v>
      </c>
      <c r="L27" s="266">
        <v>6.7367203553543087</v>
      </c>
      <c r="M27" s="267">
        <v>25</v>
      </c>
      <c r="N27" s="267">
        <v>1</v>
      </c>
      <c r="O27" s="267">
        <v>48</v>
      </c>
      <c r="P27" s="263"/>
    </row>
    <row r="28" spans="11:16">
      <c r="K28" s="263" t="s">
        <v>47</v>
      </c>
      <c r="L28" s="266">
        <v>5.5767794814801954</v>
      </c>
      <c r="M28" s="267">
        <v>26</v>
      </c>
      <c r="N28" s="267">
        <v>22</v>
      </c>
      <c r="O28" s="267">
        <v>34</v>
      </c>
      <c r="P28" s="263"/>
    </row>
    <row r="29" spans="11:16">
      <c r="K29" s="263" t="s">
        <v>53</v>
      </c>
      <c r="L29" s="266">
        <v>5.0535463783487868</v>
      </c>
      <c r="M29" s="267">
        <v>27</v>
      </c>
      <c r="N29" s="267">
        <v>16</v>
      </c>
      <c r="O29" s="267">
        <v>36</v>
      </c>
      <c r="P29" s="263"/>
    </row>
    <row r="30" spans="11:16">
      <c r="K30" s="263" t="s">
        <v>35</v>
      </c>
      <c r="L30" s="266">
        <v>4.8809334674928069</v>
      </c>
      <c r="M30" s="267">
        <v>28</v>
      </c>
      <c r="N30" s="267">
        <v>20</v>
      </c>
      <c r="O30" s="267">
        <v>35</v>
      </c>
      <c r="P30" s="263"/>
    </row>
    <row r="31" spans="11:16">
      <c r="K31" s="263" t="s">
        <v>34</v>
      </c>
      <c r="L31" s="266">
        <v>3.3798436580650586</v>
      </c>
      <c r="M31" s="267">
        <v>29</v>
      </c>
      <c r="N31" s="267">
        <v>29</v>
      </c>
      <c r="O31" s="267">
        <v>28</v>
      </c>
      <c r="P31" s="263"/>
    </row>
    <row r="32" spans="11:16" ht="13.5" thickBot="1">
      <c r="K32" s="263" t="s">
        <v>38</v>
      </c>
      <c r="L32" s="275">
        <v>1.4941797258239864</v>
      </c>
      <c r="M32" s="276">
        <v>30</v>
      </c>
      <c r="N32" s="276">
        <v>16</v>
      </c>
      <c r="O32" s="276">
        <v>36</v>
      </c>
      <c r="P32" s="277" t="s">
        <v>243</v>
      </c>
    </row>
    <row r="33" spans="11:17" ht="13.5" thickTop="1">
      <c r="K33" s="263" t="s">
        <v>58</v>
      </c>
      <c r="L33" s="266">
        <v>-0.15421751374547404</v>
      </c>
      <c r="M33" s="267">
        <v>31</v>
      </c>
      <c r="N33" s="267">
        <v>5</v>
      </c>
      <c r="O33" s="267">
        <v>41</v>
      </c>
      <c r="P33" s="274" t="s">
        <v>244</v>
      </c>
    </row>
    <row r="34" spans="11:17">
      <c r="K34" s="263" t="s">
        <v>39</v>
      </c>
      <c r="L34" s="266">
        <v>-0.29229152736651065</v>
      </c>
      <c r="M34" s="267">
        <v>32</v>
      </c>
      <c r="N34" s="267">
        <v>16</v>
      </c>
      <c r="O34" s="267">
        <v>36</v>
      </c>
      <c r="P34" s="263"/>
    </row>
    <row r="35" spans="11:17">
      <c r="K35" s="263"/>
      <c r="L35" s="266"/>
      <c r="M35" s="263"/>
      <c r="N35" s="267"/>
      <c r="O35" s="267"/>
      <c r="P35" s="263"/>
    </row>
    <row r="36" spans="11:17">
      <c r="K36" s="263" t="s">
        <v>245</v>
      </c>
      <c r="L36" s="278">
        <v>12.216846215629371</v>
      </c>
      <c r="M36" s="263"/>
      <c r="N36" s="263"/>
      <c r="O36" s="263"/>
      <c r="P36" s="263"/>
    </row>
    <row r="37" spans="11:17" ht="25.5">
      <c r="K37" s="279" t="s">
        <v>246</v>
      </c>
      <c r="L37" s="278">
        <v>11.27970852959152</v>
      </c>
    </row>
    <row r="40" spans="11:17">
      <c r="K40" s="1" t="s">
        <v>247</v>
      </c>
    </row>
    <row r="41" spans="11:17">
      <c r="K41" t="s">
        <v>248</v>
      </c>
      <c r="M41">
        <f>CORREL(N3:N34,M3:M34)</f>
        <v>-0.26564554131600665</v>
      </c>
      <c r="P41" s="263" t="s">
        <v>233</v>
      </c>
      <c r="Q41" s="267">
        <v>37</v>
      </c>
    </row>
    <row r="42" spans="11:17">
      <c r="K42" t="s">
        <v>249</v>
      </c>
      <c r="M42">
        <f>CORREL(N3:N34,L3:L34)</f>
        <v>6.1383726874050304E-2</v>
      </c>
      <c r="P42" s="263" t="s">
        <v>235</v>
      </c>
      <c r="Q42" s="267">
        <v>38</v>
      </c>
    </row>
    <row r="43" spans="11:17">
      <c r="K43" t="s">
        <v>250</v>
      </c>
      <c r="M43">
        <f>CORREL(O3:O34,M3:M34)</f>
        <v>0.28526893733026204</v>
      </c>
      <c r="P43" s="263" t="s">
        <v>42</v>
      </c>
      <c r="Q43" s="267">
        <v>26</v>
      </c>
    </row>
    <row r="44" spans="11:17">
      <c r="K44" t="s">
        <v>251</v>
      </c>
      <c r="M44">
        <f>CORREL(O3:O34,L3:L34)</f>
        <v>-8.7662818978802445E-2</v>
      </c>
      <c r="P44" s="263" t="s">
        <v>31</v>
      </c>
      <c r="Q44" s="267">
        <v>21</v>
      </c>
    </row>
    <row r="45" spans="11:17">
      <c r="P45" s="263" t="s">
        <v>32</v>
      </c>
      <c r="Q45" s="267">
        <v>39</v>
      </c>
    </row>
    <row r="46" spans="11:17">
      <c r="K46" s="1" t="s">
        <v>252</v>
      </c>
      <c r="P46" s="263" t="s">
        <v>49</v>
      </c>
      <c r="Q46" s="267">
        <v>33</v>
      </c>
    </row>
    <row r="47" spans="11:17">
      <c r="K47" t="s">
        <v>248</v>
      </c>
      <c r="M47">
        <f>CORREL(N6:N34,M6:M34)</f>
        <v>-0.2829395379896551</v>
      </c>
      <c r="P47" s="263" t="s">
        <v>48</v>
      </c>
      <c r="Q47" s="267">
        <v>33</v>
      </c>
    </row>
    <row r="48" spans="11:17">
      <c r="K48" t="s">
        <v>249</v>
      </c>
      <c r="M48">
        <f>CORREL(N6:N34,L6:L34)</f>
        <v>0.32776656026986623</v>
      </c>
      <c r="P48" s="263" t="s">
        <v>237</v>
      </c>
      <c r="Q48" s="267">
        <v>34</v>
      </c>
    </row>
    <row r="49" spans="11:17">
      <c r="K49" t="s">
        <v>250</v>
      </c>
      <c r="M49">
        <f>CORREL(O6:O34,M6:M34)</f>
        <v>0.28455660469169602</v>
      </c>
      <c r="P49" s="263" t="s">
        <v>45</v>
      </c>
      <c r="Q49" s="267">
        <v>34</v>
      </c>
    </row>
    <row r="50" spans="11:17">
      <c r="K50" t="s">
        <v>251</v>
      </c>
      <c r="M50">
        <f>CORREL(O6:O34,L6:L34)</f>
        <v>-0.30712724423936372</v>
      </c>
      <c r="P50" s="263" t="s">
        <v>40</v>
      </c>
      <c r="Q50" s="267">
        <v>36</v>
      </c>
    </row>
    <row r="51" spans="11:17">
      <c r="P51" s="263" t="s">
        <v>57</v>
      </c>
      <c r="Q51" s="267">
        <v>33</v>
      </c>
    </row>
    <row r="52" spans="11:17">
      <c r="P52" s="263" t="s">
        <v>55</v>
      </c>
      <c r="Q52" s="267">
        <v>42</v>
      </c>
    </row>
    <row r="53" spans="11:17">
      <c r="P53" s="263" t="s">
        <v>59</v>
      </c>
      <c r="Q53" s="272">
        <v>29</v>
      </c>
    </row>
    <row r="54" spans="11:17">
      <c r="P54" s="263" t="s">
        <v>43</v>
      </c>
      <c r="Q54" s="267">
        <v>37</v>
      </c>
    </row>
    <row r="55" spans="11:17">
      <c r="P55" s="263" t="s">
        <v>37</v>
      </c>
      <c r="Q55" s="267">
        <v>40</v>
      </c>
    </row>
    <row r="56" spans="11:17">
      <c r="P56" s="263" t="s">
        <v>51</v>
      </c>
      <c r="Q56" s="267">
        <v>43</v>
      </c>
    </row>
    <row r="57" spans="11:17">
      <c r="P57" s="263" t="s">
        <v>46</v>
      </c>
      <c r="Q57" s="267">
        <v>35</v>
      </c>
    </row>
    <row r="58" spans="11:17">
      <c r="P58" s="263" t="s">
        <v>36</v>
      </c>
      <c r="Q58" s="267">
        <v>23</v>
      </c>
    </row>
    <row r="59" spans="11:17">
      <c r="P59" s="263" t="s">
        <v>60</v>
      </c>
      <c r="Q59" s="267">
        <v>39</v>
      </c>
    </row>
    <row r="60" spans="11:17">
      <c r="P60" s="263" t="s">
        <v>50</v>
      </c>
      <c r="Q60" s="267">
        <v>37</v>
      </c>
    </row>
    <row r="61" spans="11:17">
      <c r="P61" s="263" t="s">
        <v>44</v>
      </c>
      <c r="Q61" s="267">
        <v>38</v>
      </c>
    </row>
    <row r="62" spans="11:17">
      <c r="P62" s="263" t="s">
        <v>33</v>
      </c>
      <c r="Q62" s="267">
        <v>40</v>
      </c>
    </row>
    <row r="63" spans="11:17">
      <c r="P63" s="263" t="s">
        <v>54</v>
      </c>
      <c r="Q63" s="267">
        <v>39</v>
      </c>
    </row>
    <row r="64" spans="11:17">
      <c r="P64" s="263" t="s">
        <v>41</v>
      </c>
      <c r="Q64" s="267">
        <v>43</v>
      </c>
    </row>
    <row r="65" spans="16:17">
      <c r="P65" s="263" t="s">
        <v>61</v>
      </c>
      <c r="Q65" s="267">
        <v>48</v>
      </c>
    </row>
    <row r="66" spans="16:17">
      <c r="P66" s="263" t="s">
        <v>47</v>
      </c>
      <c r="Q66" s="267">
        <v>34</v>
      </c>
    </row>
    <row r="67" spans="16:17">
      <c r="P67" s="263" t="s">
        <v>53</v>
      </c>
      <c r="Q67" s="267">
        <v>36</v>
      </c>
    </row>
    <row r="68" spans="16:17">
      <c r="P68" s="263" t="s">
        <v>35</v>
      </c>
      <c r="Q68" s="267">
        <v>35</v>
      </c>
    </row>
    <row r="69" spans="16:17">
      <c r="P69" s="263" t="s">
        <v>34</v>
      </c>
      <c r="Q69" s="267">
        <v>28</v>
      </c>
    </row>
    <row r="70" spans="16:17" ht="13.5" thickBot="1">
      <c r="P70" s="263" t="s">
        <v>38</v>
      </c>
      <c r="Q70" s="276">
        <v>36</v>
      </c>
    </row>
    <row r="71" spans="16:17" ht="13.5" thickTop="1">
      <c r="P71" s="263" t="s">
        <v>58</v>
      </c>
      <c r="Q71" s="267">
        <v>41</v>
      </c>
    </row>
    <row r="72" spans="16:17">
      <c r="P72" s="263" t="s">
        <v>39</v>
      </c>
      <c r="Q72" s="267">
        <v>36</v>
      </c>
    </row>
  </sheetData>
  <sheetProtection selectLockedCells="1"/>
  <phoneticPr fontId="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sheetPr>
  <dimension ref="K4:N37"/>
  <sheetViews>
    <sheetView workbookViewId="0">
      <selection activeCell="N23" sqref="N23"/>
    </sheetView>
  </sheetViews>
  <sheetFormatPr defaultRowHeight="12.75"/>
  <sheetData>
    <row r="4" spans="11:14" ht="22.5">
      <c r="K4" s="246"/>
      <c r="L4" s="257" t="s">
        <v>224</v>
      </c>
      <c r="M4" s="247" t="s">
        <v>222</v>
      </c>
      <c r="N4" s="256" t="s">
        <v>222</v>
      </c>
    </row>
    <row r="5" spans="11:14">
      <c r="K5" s="248" t="s">
        <v>31</v>
      </c>
      <c r="L5" s="262">
        <f>N5/M5</f>
        <v>0.1348314606741573</v>
      </c>
      <c r="M5" s="249">
        <v>267</v>
      </c>
      <c r="N5" s="258">
        <v>36</v>
      </c>
    </row>
    <row r="6" spans="11:14">
      <c r="K6" s="250" t="s">
        <v>32</v>
      </c>
      <c r="L6" s="262">
        <f t="shared" ref="L6:L37" si="0">N6/M6</f>
        <v>2.6578073089700997E-2</v>
      </c>
      <c r="M6" s="251">
        <v>301</v>
      </c>
      <c r="N6" s="259">
        <v>8</v>
      </c>
    </row>
    <row r="7" spans="11:14">
      <c r="K7" s="250" t="s">
        <v>33</v>
      </c>
      <c r="L7" s="262">
        <f t="shared" si="0"/>
        <v>6.3380281690140844E-2</v>
      </c>
      <c r="M7" s="251">
        <v>142</v>
      </c>
      <c r="N7" s="259">
        <v>9</v>
      </c>
    </row>
    <row r="8" spans="11:14">
      <c r="K8" s="250" t="s">
        <v>34</v>
      </c>
      <c r="L8" s="262">
        <f t="shared" si="0"/>
        <v>9.0163934426229511E-2</v>
      </c>
      <c r="M8" s="251">
        <v>122</v>
      </c>
      <c r="N8" s="259">
        <v>11</v>
      </c>
    </row>
    <row r="9" spans="11:14">
      <c r="K9" s="250" t="s">
        <v>35</v>
      </c>
      <c r="L9" s="262">
        <f t="shared" si="0"/>
        <v>0.265625</v>
      </c>
      <c r="M9" s="251">
        <v>64</v>
      </c>
      <c r="N9" s="259">
        <v>17</v>
      </c>
    </row>
    <row r="10" spans="11:14">
      <c r="K10" s="250" t="s">
        <v>36</v>
      </c>
      <c r="L10" s="262">
        <f t="shared" si="0"/>
        <v>8.2901554404145081E-2</v>
      </c>
      <c r="M10" s="251">
        <v>193</v>
      </c>
      <c r="N10" s="259">
        <v>16</v>
      </c>
    </row>
    <row r="11" spans="11:14">
      <c r="K11" s="250" t="s">
        <v>37</v>
      </c>
      <c r="L11" s="262">
        <f t="shared" si="0"/>
        <v>0.37988826815642457</v>
      </c>
      <c r="M11" s="251">
        <v>179</v>
      </c>
      <c r="N11" s="259">
        <v>68</v>
      </c>
    </row>
    <row r="12" spans="11:14">
      <c r="K12" s="250" t="s">
        <v>38</v>
      </c>
      <c r="L12" s="262">
        <f t="shared" si="0"/>
        <v>0.25974025974025972</v>
      </c>
      <c r="M12" s="251">
        <v>154</v>
      </c>
      <c r="N12" s="259">
        <v>40</v>
      </c>
    </row>
    <row r="13" spans="11:14">
      <c r="K13" s="250" t="s">
        <v>39</v>
      </c>
      <c r="L13" s="262">
        <f t="shared" si="0"/>
        <v>4.7244094488188976E-2</v>
      </c>
      <c r="M13" s="251">
        <v>127</v>
      </c>
      <c r="N13" s="259">
        <v>6</v>
      </c>
    </row>
    <row r="14" spans="11:14">
      <c r="K14" s="250" t="s">
        <v>40</v>
      </c>
      <c r="L14" s="262">
        <f t="shared" si="0"/>
        <v>2.5000000000000001E-2</v>
      </c>
      <c r="M14" s="251">
        <v>120</v>
      </c>
      <c r="N14" s="259">
        <v>3</v>
      </c>
    </row>
    <row r="15" spans="11:14">
      <c r="K15" s="250" t="s">
        <v>41</v>
      </c>
      <c r="L15" s="262">
        <f t="shared" si="0"/>
        <v>6.6666666666666666E-2</v>
      </c>
      <c r="M15" s="251">
        <v>120</v>
      </c>
      <c r="N15" s="259">
        <v>8</v>
      </c>
    </row>
    <row r="16" spans="11:14">
      <c r="K16" s="250" t="s">
        <v>223</v>
      </c>
      <c r="L16" s="262">
        <f t="shared" si="0"/>
        <v>0.13843351548269581</v>
      </c>
      <c r="M16" s="251">
        <v>549</v>
      </c>
      <c r="N16" s="259">
        <v>76</v>
      </c>
    </row>
    <row r="17" spans="11:14">
      <c r="K17" s="250" t="s">
        <v>42</v>
      </c>
      <c r="L17" s="262">
        <f t="shared" si="0"/>
        <v>0</v>
      </c>
      <c r="M17" s="251">
        <v>36</v>
      </c>
      <c r="N17" s="259">
        <v>0</v>
      </c>
    </row>
    <row r="18" spans="11:14">
      <c r="K18" s="250" t="s">
        <v>43</v>
      </c>
      <c r="L18" s="262">
        <f t="shared" si="0"/>
        <v>0.14720812182741116</v>
      </c>
      <c r="M18" s="251">
        <v>197</v>
      </c>
      <c r="N18" s="259">
        <v>29</v>
      </c>
    </row>
    <row r="19" spans="11:14">
      <c r="K19" s="250" t="s">
        <v>44</v>
      </c>
      <c r="L19" s="262">
        <f t="shared" si="0"/>
        <v>0.17660044150110377</v>
      </c>
      <c r="M19" s="251">
        <v>453</v>
      </c>
      <c r="N19" s="259">
        <v>80</v>
      </c>
    </row>
    <row r="20" spans="11:14">
      <c r="K20" s="250" t="s">
        <v>45</v>
      </c>
      <c r="L20" s="262">
        <f t="shared" si="0"/>
        <v>0.53458213256484155</v>
      </c>
      <c r="M20" s="251">
        <v>694</v>
      </c>
      <c r="N20" s="259">
        <v>371</v>
      </c>
    </row>
    <row r="21" spans="11:14">
      <c r="K21" s="250" t="s">
        <v>46</v>
      </c>
      <c r="L21" s="262">
        <f t="shared" si="0"/>
        <v>8.2191780821917804E-2</v>
      </c>
      <c r="M21" s="251">
        <v>292</v>
      </c>
      <c r="N21" s="259">
        <v>24</v>
      </c>
    </row>
    <row r="22" spans="11:14">
      <c r="K22" s="250" t="s">
        <v>47</v>
      </c>
      <c r="L22" s="262">
        <f t="shared" si="0"/>
        <v>0.44545454545454544</v>
      </c>
      <c r="M22" s="251">
        <v>110</v>
      </c>
      <c r="N22" s="259">
        <v>49</v>
      </c>
    </row>
    <row r="23" spans="11:14">
      <c r="K23" s="250" t="s">
        <v>48</v>
      </c>
      <c r="L23" s="262">
        <f t="shared" si="0"/>
        <v>8.9285714285714288E-2</v>
      </c>
      <c r="M23" s="251">
        <v>112</v>
      </c>
      <c r="N23" s="259">
        <v>10</v>
      </c>
    </row>
    <row r="24" spans="11:14">
      <c r="K24" s="250" t="s">
        <v>49</v>
      </c>
      <c r="L24" s="262">
        <f t="shared" si="0"/>
        <v>1.7241379310344827E-2</v>
      </c>
      <c r="M24" s="251">
        <v>116</v>
      </c>
      <c r="N24" s="259">
        <v>2</v>
      </c>
    </row>
    <row r="25" spans="11:14">
      <c r="K25" s="250" t="s">
        <v>50</v>
      </c>
      <c r="L25" s="262">
        <f t="shared" si="0"/>
        <v>0.26815642458100558</v>
      </c>
      <c r="M25" s="251">
        <v>179</v>
      </c>
      <c r="N25" s="259">
        <v>48</v>
      </c>
    </row>
    <row r="26" spans="11:14">
      <c r="K26" s="250" t="s">
        <v>51</v>
      </c>
      <c r="L26" s="262">
        <f t="shared" si="0"/>
        <v>0.31818181818181818</v>
      </c>
      <c r="M26" s="251">
        <v>418</v>
      </c>
      <c r="N26" s="259">
        <v>133</v>
      </c>
    </row>
    <row r="27" spans="11:14">
      <c r="K27" s="250" t="s">
        <v>52</v>
      </c>
      <c r="L27" s="262">
        <f t="shared" si="0"/>
        <v>0</v>
      </c>
      <c r="M27" s="251">
        <v>27</v>
      </c>
      <c r="N27" s="259">
        <v>0</v>
      </c>
    </row>
    <row r="28" spans="11:14">
      <c r="K28" s="250" t="s">
        <v>53</v>
      </c>
      <c r="L28" s="262">
        <f t="shared" si="0"/>
        <v>5.7142857142857141E-2</v>
      </c>
      <c r="M28" s="251">
        <v>175</v>
      </c>
      <c r="N28" s="259">
        <v>10</v>
      </c>
    </row>
    <row r="29" spans="11:14">
      <c r="K29" s="250" t="s">
        <v>54</v>
      </c>
      <c r="L29" s="262">
        <f t="shared" si="0"/>
        <v>0.28037383177570091</v>
      </c>
      <c r="M29" s="251">
        <v>214</v>
      </c>
      <c r="N29" s="259">
        <v>60</v>
      </c>
    </row>
    <row r="30" spans="11:14">
      <c r="K30" s="250" t="s">
        <v>55</v>
      </c>
      <c r="L30" s="262">
        <f t="shared" si="0"/>
        <v>4.6153846153846156E-2</v>
      </c>
      <c r="M30" s="251">
        <v>130</v>
      </c>
      <c r="N30" s="259">
        <v>6</v>
      </c>
    </row>
    <row r="31" spans="11:14">
      <c r="K31" s="250" t="s">
        <v>56</v>
      </c>
      <c r="L31" s="262">
        <f t="shared" si="0"/>
        <v>0</v>
      </c>
      <c r="M31" s="251">
        <v>30</v>
      </c>
      <c r="N31" s="259">
        <v>0</v>
      </c>
    </row>
    <row r="32" spans="11:14">
      <c r="K32" s="250" t="s">
        <v>57</v>
      </c>
      <c r="L32" s="262">
        <f t="shared" si="0"/>
        <v>0.14285714285714285</v>
      </c>
      <c r="M32" s="251">
        <v>147</v>
      </c>
      <c r="N32" s="259">
        <v>21</v>
      </c>
    </row>
    <row r="33" spans="11:14">
      <c r="K33" s="250" t="s">
        <v>58</v>
      </c>
      <c r="L33" s="262">
        <f t="shared" si="0"/>
        <v>0.20100502512562815</v>
      </c>
      <c r="M33" s="251">
        <v>398</v>
      </c>
      <c r="N33" s="259">
        <v>80</v>
      </c>
    </row>
    <row r="34" spans="11:14">
      <c r="K34" s="250" t="s">
        <v>59</v>
      </c>
      <c r="L34" s="262">
        <f t="shared" si="0"/>
        <v>9.0909090909090912E-2</v>
      </c>
      <c r="M34" s="251">
        <v>110</v>
      </c>
      <c r="N34" s="259">
        <v>10</v>
      </c>
    </row>
    <row r="35" spans="11:14">
      <c r="K35" s="250" t="s">
        <v>60</v>
      </c>
      <c r="L35" s="262">
        <f t="shared" si="0"/>
        <v>0.33898305084745761</v>
      </c>
      <c r="M35" s="251">
        <v>118</v>
      </c>
      <c r="N35" s="259">
        <v>40</v>
      </c>
    </row>
    <row r="36" spans="11:14">
      <c r="K36" s="252" t="s">
        <v>61</v>
      </c>
      <c r="L36" s="262">
        <f t="shared" si="0"/>
        <v>0.14218009478672985</v>
      </c>
      <c r="M36" s="253">
        <v>211</v>
      </c>
      <c r="N36" s="260">
        <v>30</v>
      </c>
    </row>
    <row r="37" spans="11:14">
      <c r="K37" s="254" t="s">
        <v>5</v>
      </c>
      <c r="L37" s="262">
        <f t="shared" si="0"/>
        <v>0.2</v>
      </c>
      <c r="M37" s="255">
        <v>6505</v>
      </c>
      <c r="N37" s="261">
        <v>1301</v>
      </c>
    </row>
  </sheetData>
  <sheetProtection selectLockedCells="1"/>
  <phoneticPr fontId="5" type="noConversion"/>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R42"/>
  <sheetViews>
    <sheetView zoomScale="90" zoomScaleNormal="90" workbookViewId="0">
      <pane xSplit="1" ySplit="1" topLeftCell="B2" activePane="bottomRight" state="frozen"/>
      <selection activeCell="A24" sqref="A24:H24"/>
      <selection pane="topRight" activeCell="A24" sqref="A24:H24"/>
      <selection pane="bottomLeft" activeCell="A24" sqref="A24:H24"/>
      <selection pane="bottomRight" activeCell="L12" sqref="L12"/>
    </sheetView>
  </sheetViews>
  <sheetFormatPr defaultRowHeight="12.75"/>
  <cols>
    <col min="1" max="1" width="27.7109375" customWidth="1"/>
    <col min="2" max="18" width="9.7109375" customWidth="1"/>
  </cols>
  <sheetData>
    <row r="1" spans="1:18" ht="89.25">
      <c r="A1" s="9"/>
      <c r="B1" s="10" t="s">
        <v>9</v>
      </c>
      <c r="C1" s="9" t="s">
        <v>10</v>
      </c>
      <c r="D1" s="9" t="s">
        <v>74</v>
      </c>
      <c r="E1" s="10" t="s">
        <v>11</v>
      </c>
      <c r="F1" s="17" t="s">
        <v>12</v>
      </c>
      <c r="G1" s="10" t="s">
        <v>74</v>
      </c>
      <c r="H1" s="9" t="s">
        <v>14</v>
      </c>
      <c r="I1" s="9" t="s">
        <v>74</v>
      </c>
      <c r="J1" s="10" t="s">
        <v>15</v>
      </c>
      <c r="K1" s="10" t="s">
        <v>89</v>
      </c>
      <c r="L1" s="10" t="s">
        <v>17</v>
      </c>
      <c r="M1" s="10" t="s">
        <v>351</v>
      </c>
      <c r="N1" s="10" t="s">
        <v>74</v>
      </c>
      <c r="O1" s="9" t="s">
        <v>19</v>
      </c>
      <c r="P1" s="9" t="s">
        <v>20</v>
      </c>
      <c r="Q1" s="9" t="s">
        <v>21</v>
      </c>
      <c r="R1" s="9" t="s">
        <v>74</v>
      </c>
    </row>
    <row r="2" spans="1:18">
      <c r="A2" s="7" t="str">
        <f>Cover!$C$5&amp; " 2005/06"</f>
        <v>Aberdeen City 2005/06</v>
      </c>
      <c r="B2" s="8">
        <f>VLOOKUP(Cover!$C$5,'2005-06'!$A$2:$M$34,2)</f>
        <v>155282.77817329293</v>
      </c>
      <c r="C2" s="7">
        <f>VLOOKUP(Cover!$C$5,'2005-06'!$A$2:$M$34,3)</f>
        <v>782.21532116510593</v>
      </c>
      <c r="D2" s="59">
        <f t="shared" ref="D2:D7" si="0">SUM(C2:C2)/$B2</f>
        <v>5.0373604231382764E-3</v>
      </c>
      <c r="E2" s="8">
        <f>VLOOKUP(Cover!$C$5,'2005-06'!$A$2:$M$34,4)</f>
        <v>0</v>
      </c>
      <c r="F2" s="8">
        <f>VLOOKUP(Cover!$C$5,'2005-06'!$A$2:$M$34,5)</f>
        <v>31625.202469651038</v>
      </c>
      <c r="G2" s="60">
        <f t="shared" ref="G2:G7" si="1">SUM(E2:F2)/$B2</f>
        <v>0.20366200838033599</v>
      </c>
      <c r="H2" s="7">
        <f>VLOOKUP(Cover!$C$5,'2005-06'!$A$2:$M$34,6)</f>
        <v>64848.020474045356</v>
      </c>
      <c r="I2" s="59">
        <f t="shared" ref="I2:I7" si="2">SUM(H2:H2)/$B2</f>
        <v>0.41761244380671803</v>
      </c>
      <c r="J2" s="8">
        <f>VLOOKUP(Cover!$C$5,'2005-06'!$A$2:$M$34,7)</f>
        <v>11129.975880396227</v>
      </c>
      <c r="K2" s="8">
        <f>VLOOKUP(Cover!$C$5,'2005-06'!$A$2:$M$34,8)</f>
        <v>27946.420110716965</v>
      </c>
      <c r="L2" s="8">
        <f>VLOOKUP(Cover!$C$5,'2005-06'!$A$2:$M$34,9)</f>
        <v>10397.537897850718</v>
      </c>
      <c r="M2" s="8">
        <f>VLOOKUP(Cover!$C$5,'2005-06'!$A$2:$M$34,10)</f>
        <v>3556.7093618431559</v>
      </c>
      <c r="N2" s="60">
        <f t="shared" ref="N2:N7" si="3">SUM(J2:M2)/$B2</f>
        <v>0.34151013959594262</v>
      </c>
      <c r="O2" s="7">
        <f>VLOOKUP(Cover!$C$5,'2005-06'!$A$2:$M$34,11)</f>
        <v>0</v>
      </c>
      <c r="P2" s="7">
        <f>VLOOKUP(Cover!$C$5,'2005-06'!$A$2:$M$34,12)</f>
        <v>16.59244620653255</v>
      </c>
      <c r="Q2" s="7">
        <f>VLOOKUP(Cover!$C$5,'2005-06'!$A$2:$M$34,13)</f>
        <v>4980.1042114178408</v>
      </c>
      <c r="R2" s="59">
        <f t="shared" ref="R2:R7" si="4">SUM(O2:Q2)/$B2</f>
        <v>3.2178047793865107E-2</v>
      </c>
    </row>
    <row r="3" spans="1:18">
      <c r="A3" s="7" t="str">
        <f>Cover!$C$5&amp; " 2006/07"</f>
        <v>Aberdeen City 2006/07</v>
      </c>
      <c r="B3" s="8">
        <f>VLOOKUP(Cover!$C$5,'2006-07'!$A$2:$M$34,2)</f>
        <v>161283.00761829823</v>
      </c>
      <c r="C3" s="7">
        <f>VLOOKUP(Cover!$C$5,'2006-07'!$A$2:$M$34,3)</f>
        <v>778.17733109195615</v>
      </c>
      <c r="D3" s="59">
        <f t="shared" si="0"/>
        <v>4.8249182761623344E-3</v>
      </c>
      <c r="E3" s="8">
        <f>VLOOKUP(Cover!$C$5,'2006-07'!$A$2:$M$34,4)</f>
        <v>0</v>
      </c>
      <c r="F3" s="8">
        <f>VLOOKUP(Cover!$C$5,'2006-07'!$A$2:$M$34,5)</f>
        <v>34117.780678851181</v>
      </c>
      <c r="G3" s="60">
        <f t="shared" si="1"/>
        <v>0.21153983412559066</v>
      </c>
      <c r="H3" s="7">
        <f>VLOOKUP(Cover!$C$5,'2006-07'!$A$2:$M$34,6)</f>
        <v>64542.672484709758</v>
      </c>
      <c r="I3" s="59">
        <f t="shared" si="2"/>
        <v>0.40018271879862388</v>
      </c>
      <c r="J3" s="8">
        <f>VLOOKUP(Cover!$C$5,'2006-07'!$A$2:$M$34,7)</f>
        <v>11493.080582281198</v>
      </c>
      <c r="K3" s="8">
        <f>VLOOKUP(Cover!$C$5,'2006-07'!$A$2:$M$34,8)</f>
        <v>30851.968418040706</v>
      </c>
      <c r="L3" s="8">
        <f>VLOOKUP(Cover!$C$5,'2006-07'!$A$2:$M$34,9)</f>
        <v>10695.333702922137</v>
      </c>
      <c r="M3" s="8">
        <f>VLOOKUP(Cover!$C$5,'2006-07'!$A$2:$M$34,10)</f>
        <v>3576.6227332880294</v>
      </c>
      <c r="N3" s="60">
        <f t="shared" si="3"/>
        <v>0.35104135440309481</v>
      </c>
      <c r="O3" s="7">
        <f>VLOOKUP(Cover!$C$5,'2006-07'!$A$2:$M$34,11)</f>
        <v>0</v>
      </c>
      <c r="P3" s="7">
        <f>VLOOKUP(Cover!$C$5,'2006-07'!$A$2:$M$34,12)</f>
        <v>11.511498980650238</v>
      </c>
      <c r="Q3" s="7">
        <f>VLOOKUP(Cover!$C$5,'2006-07'!$A$2:$M$34,13)</f>
        <v>5215.8601881326231</v>
      </c>
      <c r="R3" s="59">
        <f t="shared" si="4"/>
        <v>3.2411174396528346E-2</v>
      </c>
    </row>
    <row r="4" spans="1:18">
      <c r="A4" s="7" t="str">
        <f>Cover!$C$5&amp; " 2007/08"</f>
        <v>Aberdeen City 2007/08</v>
      </c>
      <c r="B4" s="8">
        <f>VLOOKUP(Cover!$C$5,'2007-08'!$A$2:$M$34,2)</f>
        <v>160686.60088329396</v>
      </c>
      <c r="C4" s="7">
        <f>VLOOKUP(Cover!$C$5,'2007-08'!$A$2:$M$34,3)</f>
        <v>776.75580748365576</v>
      </c>
      <c r="D4" s="59">
        <f t="shared" si="0"/>
        <v>4.8339799536105095E-3</v>
      </c>
      <c r="E4" s="8">
        <f>VLOOKUP(Cover!$C$5,'2007-08'!$A$2:$M$34,4)</f>
        <v>0</v>
      </c>
      <c r="F4" s="8">
        <f>VLOOKUP(Cover!$C$5,'2007-08'!$A$2:$M$34,5)</f>
        <v>34978.634719710673</v>
      </c>
      <c r="G4" s="60">
        <f t="shared" si="1"/>
        <v>0.21768233647008015</v>
      </c>
      <c r="H4" s="7">
        <f>VLOOKUP(Cover!$C$5,'2007-08'!$A$2:$M$34,6)</f>
        <v>65084.078105438872</v>
      </c>
      <c r="I4" s="59">
        <f t="shared" si="2"/>
        <v>0.40503736931188916</v>
      </c>
      <c r="J4" s="8">
        <f>VLOOKUP(Cover!$C$5,'2007-08'!$A$2:$M$34,7)</f>
        <v>10631.705209347616</v>
      </c>
      <c r="K4" s="8">
        <f>VLOOKUP(Cover!$C$5,'2007-08'!$A$2:$M$34,8)</f>
        <v>29925.244992349428</v>
      </c>
      <c r="L4" s="8">
        <f>VLOOKUP(Cover!$C$5,'2007-08'!$A$2:$M$34,9)</f>
        <v>10722.364028376689</v>
      </c>
      <c r="M4" s="8">
        <f>VLOOKUP(Cover!$C$5,'2007-08'!$A$2:$M$34,10)</f>
        <v>3344.3031019613304</v>
      </c>
      <c r="N4" s="60">
        <f t="shared" si="3"/>
        <v>0.33993884388473672</v>
      </c>
      <c r="O4" s="7">
        <f>VLOOKUP(Cover!$C$5,'2007-08'!$A$2:$M$34,11)</f>
        <v>0</v>
      </c>
      <c r="P4" s="7">
        <f>VLOOKUP(Cover!$C$5,'2007-08'!$A$2:$M$34,12)</f>
        <v>20.146404228682712</v>
      </c>
      <c r="Q4" s="7">
        <f>VLOOKUP(Cover!$C$5,'2007-08'!$A$2:$M$34,13)</f>
        <v>5203.368514396996</v>
      </c>
      <c r="R4" s="59">
        <f t="shared" si="4"/>
        <v>3.2507470379683351E-2</v>
      </c>
    </row>
    <row r="5" spans="1:18">
      <c r="A5" s="7" t="str">
        <f>Cover!$C$5&amp; " 2008/09"</f>
        <v>Aberdeen City 2008/09</v>
      </c>
      <c r="B5" s="8">
        <f>VLOOKUP(Cover!$C$5,'2008-09'!$A$2:$M$34,2)</f>
        <v>162470.7726446309</v>
      </c>
      <c r="C5" s="7">
        <f>VLOOKUP(Cover!$C$5,'2008-09'!$A$2:$M$34,3)</f>
        <v>734.90531094372864</v>
      </c>
      <c r="D5" s="59">
        <f t="shared" si="0"/>
        <v>4.5233077862636408E-3</v>
      </c>
      <c r="E5" s="8">
        <f>VLOOKUP(Cover!$C$5,'2008-09'!$A$2:$M$34,4)</f>
        <v>0</v>
      </c>
      <c r="F5" s="8">
        <f>VLOOKUP(Cover!$C$5,'2008-09'!$A$2:$M$34,5)</f>
        <v>38266.323275326642</v>
      </c>
      <c r="G5" s="60">
        <f t="shared" si="1"/>
        <v>0.23552742842570099</v>
      </c>
      <c r="H5" s="7">
        <f>VLOOKUP(Cover!$C$5,'2008-09'!$A$2:$M$34,6)</f>
        <v>64043.617720461196</v>
      </c>
      <c r="I5" s="59">
        <f t="shared" si="2"/>
        <v>0.39418546904151514</v>
      </c>
      <c r="J5" s="8">
        <f>VLOOKUP(Cover!$C$5,'2008-09'!$A$2:$M$34,7)</f>
        <v>10941.80236694409</v>
      </c>
      <c r="K5" s="8">
        <f>VLOOKUP(Cover!$C$5,'2008-09'!$A$2:$M$34,8)</f>
        <v>29698.24325545154</v>
      </c>
      <c r="L5" s="8">
        <f>VLOOKUP(Cover!$C$5,'2008-09'!$A$2:$M$34,9)</f>
        <v>10399.891477420302</v>
      </c>
      <c r="M5" s="8">
        <f>VLOOKUP(Cover!$C$5,'2008-09'!$A$2:$M$34,10)</f>
        <v>2711.7351755445893</v>
      </c>
      <c r="N5" s="60">
        <f t="shared" si="3"/>
        <v>0.33083902661637787</v>
      </c>
      <c r="O5" s="7">
        <f>VLOOKUP(Cover!$C$5,'2008-09'!$A$2:$M$34,11)</f>
        <v>0</v>
      </c>
      <c r="P5" s="7">
        <f>VLOOKUP(Cover!$C$5,'2008-09'!$A$2:$M$34,12)</f>
        <v>2.1807279256490464</v>
      </c>
      <c r="Q5" s="7">
        <f>VLOOKUP(Cover!$C$5,'2008-09'!$A$2:$M$34,13)</f>
        <v>5672.0733346131692</v>
      </c>
      <c r="R5" s="59">
        <f t="shared" si="4"/>
        <v>3.4924768130142413E-2</v>
      </c>
    </row>
    <row r="6" spans="1:18">
      <c r="A6" s="7" t="str">
        <f>Cover!$C$5&amp; " 2009/10"</f>
        <v>Aberdeen City 2009/10</v>
      </c>
      <c r="B6" s="8">
        <f>VLOOKUP(Cover!$C$5,'2009-10'!$A$2:$M$34,2)</f>
        <v>159776.38531887432</v>
      </c>
      <c r="C6" s="7">
        <f>VLOOKUP(Cover!$C$5,'2009-10'!$A$2:$M$34,3)</f>
        <v>732.84102066257026</v>
      </c>
      <c r="D6" s="59">
        <f t="shared" si="0"/>
        <v>4.5866666666666668E-3</v>
      </c>
      <c r="E6" s="8">
        <f>VLOOKUP(Cover!$C$5,'2009-10'!$A$2:$M$34,4)</f>
        <v>0</v>
      </c>
      <c r="F6" s="8">
        <f>VLOOKUP(Cover!$C$5,'2009-10'!$A$2:$M$34,5)</f>
        <v>37541.059494522713</v>
      </c>
      <c r="G6" s="60">
        <f t="shared" si="1"/>
        <v>0.23496</v>
      </c>
      <c r="H6" s="7">
        <f>VLOOKUP(Cover!$C$5,'2009-10'!$A$2:$M$34,6)</f>
        <v>64154.479409136547</v>
      </c>
      <c r="I6" s="59">
        <f t="shared" si="2"/>
        <v>0.4015266666666667</v>
      </c>
      <c r="J6" s="8">
        <f>VLOOKUP(Cover!$C$5,'2009-10'!$A$2:$M$34,7)</f>
        <v>10409.964091475726</v>
      </c>
      <c r="K6" s="8">
        <f>VLOOKUP(Cover!$C$5,'2009-10'!$A$2:$M$34,8)</f>
        <v>29798.295861970062</v>
      </c>
      <c r="L6" s="8">
        <f>VLOOKUP(Cover!$C$5,'2009-10'!$A$2:$M$34,9)</f>
        <v>9305.3766809712415</v>
      </c>
      <c r="M6" s="8">
        <f>VLOOKUP(Cover!$C$5,'2009-10'!$A$2:$M$34,10)</f>
        <v>2381.7333171533533</v>
      </c>
      <c r="N6" s="60">
        <f t="shared" si="3"/>
        <v>0.32479999999999998</v>
      </c>
      <c r="O6" s="7">
        <f>VLOOKUP(Cover!$C$5,'2009-10'!$A$2:$M$34,11)</f>
        <v>0</v>
      </c>
      <c r="P6" s="7">
        <f>VLOOKUP(Cover!$C$5,'2009-10'!$A$2:$M$34,12)</f>
        <v>0</v>
      </c>
      <c r="Q6" s="7">
        <f>VLOOKUP(Cover!$C$5,'2009-10'!$A$2:$M$34,13)</f>
        <v>5452.6354429821185</v>
      </c>
      <c r="R6" s="59">
        <f t="shared" si="4"/>
        <v>3.4126666666666673E-2</v>
      </c>
    </row>
    <row r="7" spans="1:18">
      <c r="A7" s="7" t="str">
        <f>Cover!$C$5&amp; " 2010/11"</f>
        <v>Aberdeen City 2010/11</v>
      </c>
      <c r="B7" s="8">
        <f>VLOOKUP(Cover!$C$5,'2010-11'!$A$2:$M$34,2)</f>
        <v>161771.61083026309</v>
      </c>
      <c r="C7" s="7">
        <f>VLOOKUP(Cover!$C$5,'2010-11'!$A$2:$M$34,3)</f>
        <v>724.92775897523791</v>
      </c>
      <c r="D7" s="59">
        <f t="shared" si="0"/>
        <v>4.48118032116191E-3</v>
      </c>
      <c r="E7" s="8">
        <f>VLOOKUP(Cover!$C$5,'2010-11'!$A$2:$M$34,4)</f>
        <v>0</v>
      </c>
      <c r="F7" s="8">
        <f>VLOOKUP(Cover!$C$5,'2010-11'!$A$2:$M$34,5)</f>
        <v>35811.017639876627</v>
      </c>
      <c r="G7" s="60">
        <f t="shared" si="1"/>
        <v>0.22136775084381713</v>
      </c>
      <c r="H7" s="7">
        <f>VLOOKUP(Cover!$C$5,'2010-11'!$A$2:$M$34,6)</f>
        <v>65997.381811755651</v>
      </c>
      <c r="I7" s="59">
        <f t="shared" si="2"/>
        <v>0.40796640073642221</v>
      </c>
      <c r="J7" s="8">
        <f>VLOOKUP(Cover!$C$5,'2010-11'!$A$2:$M$34,7)</f>
        <v>9779.8028767886244</v>
      </c>
      <c r="K7" s="8">
        <f>VLOOKUP(Cover!$C$5,'2010-11'!$A$2:$M$34,8)</f>
        <v>31560.727926056046</v>
      </c>
      <c r="L7" s="8">
        <f>VLOOKUP(Cover!$C$5,'2010-11'!$A$2:$M$34,9)</f>
        <v>9869.7725130665785</v>
      </c>
      <c r="M7" s="8">
        <f>VLOOKUP(Cover!$C$5,'2010-11'!$A$2:$M$34,10)</f>
        <v>2271.991849455917</v>
      </c>
      <c r="N7" s="60">
        <f t="shared" si="3"/>
        <v>0.33060371279533601</v>
      </c>
      <c r="O7" s="7">
        <f>VLOOKUP(Cover!$C$5,'2010-11'!$A$2:$M$34,11)</f>
        <v>0</v>
      </c>
      <c r="P7" s="7">
        <f>VLOOKUP(Cover!$C$5,'2010-11'!$A$2:$M$34,12)</f>
        <v>0</v>
      </c>
      <c r="Q7" s="7">
        <f>VLOOKUP(Cover!$C$5,'2010-11'!$A$2:$M$34,13)</f>
        <v>5755.9884542884083</v>
      </c>
      <c r="R7" s="59">
        <f t="shared" si="4"/>
        <v>3.558095530326276E-2</v>
      </c>
    </row>
    <row r="8" spans="1:18">
      <c r="A8" s="7" t="str">
        <f>Cover!$C$5&amp; " 2011/12"</f>
        <v>Aberdeen City 2011/12</v>
      </c>
      <c r="B8" s="8">
        <f>VLOOKUP(Cover!$C$5,'2011-12'!$A$2:$M$34,2)</f>
        <v>160250.87261912297</v>
      </c>
      <c r="C8" s="7">
        <f>VLOOKUP(Cover!$C$5,'2011-12'!$A$2:$M$34,3)</f>
        <v>736.24485857115747</v>
      </c>
      <c r="D8" s="59">
        <f t="shared" ref="D8" si="5">SUM(C8:C8)/$B8</f>
        <v>4.5943266737837425E-3</v>
      </c>
      <c r="E8" s="8">
        <f>VLOOKUP(Cover!$C$5,'2011-12'!$A$2:$M$34,4)</f>
        <v>0</v>
      </c>
      <c r="F8" s="8">
        <f>VLOOKUP(Cover!$C$5,'2011-12'!$A$2:$M$34,5)</f>
        <v>36863.158893880915</v>
      </c>
      <c r="G8" s="60">
        <f t="shared" ref="G8" si="6">SUM(E8:F8)/$B8</f>
        <v>0.23003406029180012</v>
      </c>
      <c r="H8" s="7">
        <f>VLOOKUP(Cover!$C$5,'2011-12'!$A$2:$M$34,6)</f>
        <v>65756.950895399612</v>
      </c>
      <c r="I8" s="59">
        <f t="shared" ref="I8" si="7">SUM(H8:H8)/$B8</f>
        <v>0.41033755274261602</v>
      </c>
      <c r="J8" s="8">
        <f>VLOOKUP(Cover!$C$5,'2011-12'!$A$2:$M$34,7)</f>
        <v>9044.7120799848144</v>
      </c>
      <c r="K8" s="8">
        <f>VLOOKUP(Cover!$C$5,'2011-12'!$A$2:$M$34,8)</f>
        <v>31711.481522495731</v>
      </c>
      <c r="L8" s="8">
        <f>VLOOKUP(Cover!$C$5,'2011-12'!$A$2:$M$34,9)</f>
        <v>9159.7821616148849</v>
      </c>
      <c r="M8" s="8">
        <f>VLOOKUP(Cover!$C$5,'2011-12'!$A$2:$M$34,10)</f>
        <v>2302.4199519078661</v>
      </c>
      <c r="N8" s="60">
        <f t="shared" ref="N8" si="8">SUM(J8:M8)/$B8</f>
        <v>0.32585404910782373</v>
      </c>
      <c r="O8" s="7">
        <f>VLOOKUP(Cover!$C$5,'2011-12'!$A$2:$M$34,11)</f>
        <v>0</v>
      </c>
      <c r="P8" s="7">
        <f>VLOOKUP(Cover!$C$5,'2011-12'!$A$2:$M$34,12)</f>
        <v>0</v>
      </c>
      <c r="Q8" s="7">
        <f>VLOOKUP(Cover!$C$5,'2011-12'!$A$2:$M$34,13)</f>
        <v>4676.1222552679874</v>
      </c>
      <c r="R8" s="59">
        <f t="shared" ref="R8" si="9">SUM(O8:Q8)/$B8</f>
        <v>2.9180011183976413E-2</v>
      </c>
    </row>
    <row r="9" spans="1:18">
      <c r="A9" s="7" t="str">
        <f>Cover!$C$5&amp; " 2012/13"</f>
        <v>Aberdeen City 2012/13</v>
      </c>
      <c r="B9" s="8">
        <f>VLOOKUP(Cover!$C$5,'2012-13'!$A$2:$M$34,2)</f>
        <v>164720</v>
      </c>
      <c r="C9" s="7">
        <f>VLOOKUP(Cover!$C$5,'2012-13'!$A$2:$M$34,3)</f>
        <v>737</v>
      </c>
      <c r="D9" s="59">
        <f t="shared" ref="D9:D11" si="10">SUM(C9:C9)/$B9</f>
        <v>4.47425934919864E-3</v>
      </c>
      <c r="E9" s="8">
        <f>VLOOKUP(Cover!$C$5,'2012-13'!$A$2:$M$34,4)</f>
        <v>116</v>
      </c>
      <c r="F9" s="8">
        <f>VLOOKUP(Cover!$C$5,'2012-13'!$A$2:$M$34,5)</f>
        <v>35599</v>
      </c>
      <c r="G9" s="60">
        <f t="shared" ref="G9:G11" si="11">SUM(E9:F9)/$B9</f>
        <v>0.21682248664400194</v>
      </c>
      <c r="H9" s="7">
        <f>VLOOKUP(Cover!$C$5,'2012-13'!$A$2:$M$34,6)</f>
        <v>70411</v>
      </c>
      <c r="I9" s="59">
        <f t="shared" ref="I9:I11" si="12">SUM(H9:H9)/$B9</f>
        <v>0.42745871782418648</v>
      </c>
      <c r="J9" s="8">
        <f>VLOOKUP(Cover!$C$5,'2012-13'!$A$2:$M$34,7)</f>
        <v>11409</v>
      </c>
      <c r="K9" s="8">
        <f>VLOOKUP(Cover!$C$5,'2012-13'!$A$2:$M$34,8)</f>
        <v>30479</v>
      </c>
      <c r="L9" s="8">
        <f>VLOOKUP(Cover!$C$5,'2012-13'!$A$2:$M$34,9)</f>
        <v>8623</v>
      </c>
      <c r="M9" s="8">
        <f>VLOOKUP(Cover!$C$5,'2012-13'!$A$2:$M$34,10)</f>
        <v>2345</v>
      </c>
      <c r="N9" s="60">
        <f t="shared" ref="N9:N11" si="13">SUM(J9:M9)/$B9</f>
        <v>0.32088392423506557</v>
      </c>
      <c r="O9" s="7">
        <f>VLOOKUP(Cover!$C$5,'2012-13'!$A$2:$M$34,11)</f>
        <v>0</v>
      </c>
      <c r="P9" s="7">
        <f>VLOOKUP(Cover!$C$5,'2012-13'!$A$2:$M$34,12)</f>
        <v>0</v>
      </c>
      <c r="Q9" s="7">
        <f>VLOOKUP(Cover!$C$5,'2012-13'!$A$2:$M$34,13)</f>
        <v>5001</v>
      </c>
      <c r="R9" s="59">
        <f t="shared" ref="R9:R11" si="14">SUM(O9:Q9)/$B9</f>
        <v>3.0360611947547352E-2</v>
      </c>
    </row>
    <row r="10" spans="1:18">
      <c r="A10" s="7" t="str">
        <f>Cover!$C$5&amp; " 2013/14"</f>
        <v>Aberdeen City 2013/14</v>
      </c>
      <c r="B10" s="8">
        <f>VLOOKUP(Cover!$C$5,'2013-14'!$A$2:$M$34,2)</f>
        <v>164861.08358944711</v>
      </c>
      <c r="C10" s="7">
        <f>VLOOKUP(Cover!$C$5,'2013-14'!$A$2:$M$34,3)</f>
        <v>729.62982685695169</v>
      </c>
      <c r="D10" s="59">
        <f t="shared" si="10"/>
        <v>4.4257250466334793E-3</v>
      </c>
      <c r="E10" s="8">
        <f>VLOOKUP(Cover!$C$5,'2013-14'!$A$2:$M$34,4)</f>
        <v>59.741502601710138</v>
      </c>
      <c r="F10" s="8">
        <f>VLOOKUP(Cover!$C$5,'2013-14'!$A$2:$M$34,5)</f>
        <v>37356.067766180815</v>
      </c>
      <c r="G10" s="60">
        <f t="shared" si="11"/>
        <v>0.22695355661957775</v>
      </c>
      <c r="H10" s="7">
        <f>VLOOKUP(Cover!$C$5,'2013-14'!$A$2:$M$34,6)</f>
        <v>69399.059276389875</v>
      </c>
      <c r="I10" s="59">
        <f t="shared" si="12"/>
        <v>0.42095476849596641</v>
      </c>
      <c r="J10" s="8">
        <f>VLOOKUP(Cover!$C$5,'2013-14'!$A$2:$M$34,7)</f>
        <v>12027.629400845937</v>
      </c>
      <c r="K10" s="8">
        <f>VLOOKUP(Cover!$C$5,'2013-14'!$A$2:$M$34,8)</f>
        <v>29705.237957581478</v>
      </c>
      <c r="L10" s="8">
        <f>VLOOKUP(Cover!$C$5,'2013-14'!$A$2:$M$34,9)</f>
        <v>8172.8334296929688</v>
      </c>
      <c r="M10" s="8">
        <f>VLOOKUP(Cover!$C$5,'2013-14'!$A$2:$M$34,10)</f>
        <v>2591.4100964610661</v>
      </c>
      <c r="N10" s="60">
        <f t="shared" si="13"/>
        <v>0.31843240224791186</v>
      </c>
      <c r="O10" s="7">
        <f>VLOOKUP(Cover!$C$5,'2013-14'!$A$2:$M$34,11)</f>
        <v>0</v>
      </c>
      <c r="P10" s="7">
        <f>VLOOKUP(Cover!$C$5,'2013-14'!$A$2:$M$34,12)</f>
        <v>0</v>
      </c>
      <c r="Q10" s="7">
        <f>VLOOKUP(Cover!$C$5,'2013-14'!$A$2:$M$34,13)</f>
        <v>4819.4743328363211</v>
      </c>
      <c r="R10" s="59">
        <f t="shared" si="14"/>
        <v>2.9233547589910536E-2</v>
      </c>
    </row>
    <row r="11" spans="1:18">
      <c r="A11" s="7" t="str">
        <f>Cover!$C$5&amp; " 2014/15"</f>
        <v>Aberdeen City 2014/15</v>
      </c>
      <c r="B11" s="8">
        <f>VLOOKUP(Cover!$C$5,'2014-15'!$A$2:$M$34,2)</f>
        <v>164239.08945</v>
      </c>
      <c r="C11" s="7">
        <f>VLOOKUP(Cover!$C$5,'2014-15'!$A$2:$M$34,3)</f>
        <v>902.78925000000004</v>
      </c>
      <c r="D11" s="59">
        <f t="shared" si="10"/>
        <v>5.496798922980147E-3</v>
      </c>
      <c r="E11" s="8">
        <f>VLOOKUP(Cover!$C$5,'2014-15'!$A$2:$M$34,4)</f>
        <v>49.243050000000004</v>
      </c>
      <c r="F11" s="8">
        <f>VLOOKUP(Cover!$C$5,'2014-15'!$A$2:$M$34,5)</f>
        <v>37343.611799999999</v>
      </c>
      <c r="G11" s="60">
        <f t="shared" si="11"/>
        <v>0.22767329613930709</v>
      </c>
      <c r="H11" s="7">
        <f>VLOOKUP(Cover!$C$5,'2014-15'!$A$2:$M$34,6)</f>
        <v>67728.504750000007</v>
      </c>
      <c r="I11" s="59">
        <f t="shared" si="12"/>
        <v>0.41237749781009886</v>
      </c>
      <c r="J11" s="8">
        <f>VLOOKUP(Cover!$C$5,'2014-15'!$A$2:$M$34,7)</f>
        <v>11886.886050000001</v>
      </c>
      <c r="K11" s="8">
        <f>VLOOKUP(Cover!$C$5,'2014-15'!$A$2:$M$34,8)</f>
        <v>30420.618300000002</v>
      </c>
      <c r="L11" s="8">
        <f>VLOOKUP(Cover!$C$5,'2014-15'!$A$2:$M$34,9)</f>
        <v>8587.6017000000011</v>
      </c>
      <c r="M11" s="8">
        <f>VLOOKUP(Cover!$C$5,'2014-15'!$A$2:$M$34,10)</f>
        <v>2562.5697</v>
      </c>
      <c r="N11" s="60">
        <f t="shared" si="13"/>
        <v>0.32548692232170678</v>
      </c>
      <c r="O11" s="7">
        <f>VLOOKUP(Cover!$C$5,'2014-15'!$A$2:$M$34,11)</f>
        <v>0</v>
      </c>
      <c r="P11" s="7">
        <f>VLOOKUP(Cover!$C$5,'2014-15'!$A$2:$M$34,12)</f>
        <v>0</v>
      </c>
      <c r="Q11" s="7">
        <f>VLOOKUP(Cover!$C$5,'2014-15'!$A$2:$M$34,13)</f>
        <v>4757.2648500000005</v>
      </c>
      <c r="R11" s="59">
        <f t="shared" si="14"/>
        <v>2.896548480590715E-2</v>
      </c>
    </row>
    <row r="12" spans="1:18">
      <c r="A12" s="56" t="s">
        <v>64</v>
      </c>
      <c r="B12" s="57">
        <f>(B11-B2)/B2</f>
        <v>5.767742812220928E-2</v>
      </c>
      <c r="C12" s="58">
        <f>(C11-C2)/C2</f>
        <v>0.15414416666666644</v>
      </c>
      <c r="D12" s="58"/>
      <c r="E12" s="165"/>
      <c r="F12" s="166">
        <f>(F11-F2)/F2</f>
        <v>0.18081810972867612</v>
      </c>
      <c r="G12" s="57"/>
      <c r="H12" s="58">
        <f>(H11-H2)/H2</f>
        <v>4.4419000840704631E-2</v>
      </c>
      <c r="I12" s="58"/>
      <c r="J12" s="57">
        <f>(J11-J2)/J2</f>
        <v>6.8006451922052888E-2</v>
      </c>
      <c r="K12" s="57">
        <f>(K11-K2)/K2</f>
        <v>8.8533636132315394E-2</v>
      </c>
      <c r="L12" s="57">
        <f>(L11-L2)/L2</f>
        <v>-0.17407353698848743</v>
      </c>
      <c r="M12" s="57">
        <f>(M11-M2)/M2</f>
        <v>-0.27951107630789751</v>
      </c>
      <c r="N12" s="60"/>
      <c r="O12" s="58"/>
      <c r="P12" s="58"/>
      <c r="Q12" s="58">
        <f>(Q11-Q2)/Q2</f>
        <v>-4.474592336982397E-2</v>
      </c>
      <c r="R12" s="58"/>
    </row>
    <row r="13" spans="1:18">
      <c r="F13" s="15"/>
    </row>
    <row r="14" spans="1:18">
      <c r="A14" s="7" t="s">
        <v>23</v>
      </c>
      <c r="B14" s="8">
        <f>'2005-06'!$B$35</f>
        <v>3328018.0461279755</v>
      </c>
      <c r="C14" s="7">
        <f>'2005-06'!$C$35</f>
        <v>31332.464311578642</v>
      </c>
      <c r="D14" s="59">
        <f t="shared" ref="D14:D19" si="15">SUM(C14:C14)/$B14</f>
        <v>9.4147519266107316E-3</v>
      </c>
      <c r="E14" s="8">
        <f>'2005-06'!$D$35</f>
        <v>2968.8626962402882</v>
      </c>
      <c r="F14" s="8">
        <f>'2005-06'!$E$35</f>
        <v>697167.18260933622</v>
      </c>
      <c r="G14" s="60">
        <f t="shared" ref="G14:G19" si="16">SUM(E14:F14)/$B14</f>
        <v>0.21037627669121525</v>
      </c>
      <c r="H14" s="7">
        <f>'2005-06'!$F$35</f>
        <v>1485210.0079171222</v>
      </c>
      <c r="I14" s="59">
        <f t="shared" ref="I14:I19" si="17">SUM(H14:H14)/$B14</f>
        <v>0.44627462571758242</v>
      </c>
      <c r="J14" s="8">
        <f>'2005-06'!$G$35</f>
        <v>214439.58959849764</v>
      </c>
      <c r="K14" s="8">
        <f>'2005-06'!$H$35</f>
        <v>562237.41005781351</v>
      </c>
      <c r="L14" s="8">
        <f>'2005-06'!$I$35</f>
        <v>174822.75393094309</v>
      </c>
      <c r="M14" s="8">
        <f>'2005-06'!$J$35</f>
        <v>44205.832218389827</v>
      </c>
      <c r="N14" s="60">
        <f t="shared" ref="N14:N19" si="18">SUM(J14:M14)/$B14</f>
        <v>0.29918875799490036</v>
      </c>
      <c r="O14" s="7">
        <f>'2005-06'!$K$35</f>
        <v>2639.3841215677135</v>
      </c>
      <c r="P14" s="7">
        <f>'2005-06'!$L$35</f>
        <v>2964.1219973241359</v>
      </c>
      <c r="Q14" s="7">
        <f>'2005-06'!$M$35</f>
        <v>110030.43666916252</v>
      </c>
      <c r="R14" s="59">
        <f t="shared" ref="R14:R19" si="19">SUM(O14:Q14)/$B14</f>
        <v>3.4745587669691318E-2</v>
      </c>
    </row>
    <row r="15" spans="1:18">
      <c r="A15" s="7" t="s">
        <v>22</v>
      </c>
      <c r="B15" s="8">
        <f>'2006-07'!$B$35</f>
        <v>3447102.2536571412</v>
      </c>
      <c r="C15" s="7">
        <f>'2006-07'!$C$35</f>
        <v>30999.315604993029</v>
      </c>
      <c r="D15" s="59">
        <f t="shared" si="15"/>
        <v>8.9928622140828182E-3</v>
      </c>
      <c r="E15" s="8">
        <f>'2006-07'!$D$35</f>
        <v>3072.4190779355486</v>
      </c>
      <c r="F15" s="8">
        <f>'2006-07'!$E$35</f>
        <v>735325.77613648563</v>
      </c>
      <c r="G15" s="60">
        <f t="shared" si="16"/>
        <v>0.21420838167218012</v>
      </c>
      <c r="H15" s="7">
        <f>'2006-07'!$F$35</f>
        <v>1556828.935941915</v>
      </c>
      <c r="I15" s="59">
        <f t="shared" si="17"/>
        <v>0.45163410348220023</v>
      </c>
      <c r="J15" s="8">
        <f>'2006-07'!$G$35</f>
        <v>221392.60184555958</v>
      </c>
      <c r="K15" s="8">
        <f>'2006-07'!$H$35</f>
        <v>579034.15447619732</v>
      </c>
      <c r="L15" s="8">
        <f>'2006-07'!$I$35</f>
        <v>150180.16685146108</v>
      </c>
      <c r="M15" s="8">
        <f>'2006-07'!$J$35</f>
        <v>48748.895883257632</v>
      </c>
      <c r="N15" s="60">
        <f t="shared" si="18"/>
        <v>0.28991185799499475</v>
      </c>
      <c r="O15" s="7">
        <f>'2006-07'!$K$35</f>
        <v>2559.0062233985482</v>
      </c>
      <c r="P15" s="7">
        <f>'2006-07'!$L$35</f>
        <v>2568.2154225830682</v>
      </c>
      <c r="Q15" s="7">
        <f>'2006-07'!$M$35</f>
        <v>116392.76619335456</v>
      </c>
      <c r="R15" s="59">
        <f t="shared" si="19"/>
        <v>3.5252794636541962E-2</v>
      </c>
    </row>
    <row r="16" spans="1:18">
      <c r="A16" s="7" t="s">
        <v>8</v>
      </c>
      <c r="B16" s="8">
        <f>'2007-08'!$B$35</f>
        <v>3572868.534914453</v>
      </c>
      <c r="C16" s="7">
        <f>'2007-08'!$C$35</f>
        <v>30151.332417582424</v>
      </c>
      <c r="D16" s="59">
        <f t="shared" si="15"/>
        <v>8.4389705702687858E-3</v>
      </c>
      <c r="E16" s="8">
        <f>'2007-08'!$D$35</f>
        <v>2791.396230351927</v>
      </c>
      <c r="F16" s="8">
        <f>'2007-08'!$E$35</f>
        <v>767147.0919112534</v>
      </c>
      <c r="G16" s="60">
        <f t="shared" si="16"/>
        <v>0.2154958909396425</v>
      </c>
      <c r="H16" s="7">
        <f>'2007-08'!$F$35</f>
        <v>1628402.5149534012</v>
      </c>
      <c r="I16" s="59">
        <f t="shared" si="17"/>
        <v>0.45576894280897207</v>
      </c>
      <c r="J16" s="8">
        <f>'2007-08'!$G$35</f>
        <v>216432.82062873838</v>
      </c>
      <c r="K16" s="8">
        <f>'2007-08'!$H$35</f>
        <v>600762.4163652804</v>
      </c>
      <c r="L16" s="8">
        <f>'2007-08'!$I$35</f>
        <v>158793.95813047714</v>
      </c>
      <c r="M16" s="8">
        <f>'2007-08'!$J$35</f>
        <v>53126.067951036312</v>
      </c>
      <c r="N16" s="60">
        <f t="shared" si="18"/>
        <v>0.28803614043419395</v>
      </c>
      <c r="O16" s="7">
        <f>'2007-08'!$K$35</f>
        <v>2245.2048268187514</v>
      </c>
      <c r="P16" s="7">
        <f>'2007-08'!$L$35</f>
        <v>3417.0540061204624</v>
      </c>
      <c r="Q16" s="7">
        <f>'2007-08'!$M$35</f>
        <v>109598.67749339269</v>
      </c>
      <c r="R16" s="59">
        <f t="shared" si="19"/>
        <v>3.2260055246922666E-2</v>
      </c>
    </row>
    <row r="17" spans="1:18">
      <c r="A17" s="7" t="s">
        <v>71</v>
      </c>
      <c r="B17" s="8">
        <f>'2008-09'!$B$35</f>
        <v>3716888.2850383385</v>
      </c>
      <c r="C17" s="7">
        <f>'2008-09'!$C$35</f>
        <v>36111.764084785384</v>
      </c>
      <c r="D17" s="59">
        <f t="shared" si="15"/>
        <v>9.715590385147372E-3</v>
      </c>
      <c r="E17" s="8">
        <f>'2008-09'!$D$35</f>
        <v>2817.5004799385679</v>
      </c>
      <c r="F17" s="8">
        <f>'2008-09'!$E$35</f>
        <v>786286.5319639087</v>
      </c>
      <c r="G17" s="60">
        <f t="shared" si="16"/>
        <v>0.21230232708909838</v>
      </c>
      <c r="H17" s="7">
        <f>'2008-09'!$F$35</f>
        <v>1684512.0090793085</v>
      </c>
      <c r="I17" s="59">
        <f t="shared" si="17"/>
        <v>0.45320490687331305</v>
      </c>
      <c r="J17" s="8">
        <f>'2008-09'!$G$35</f>
        <v>222132.21759850034</v>
      </c>
      <c r="K17" s="8">
        <f>'2008-09'!$H$35</f>
        <v>651913.34827730292</v>
      </c>
      <c r="L17" s="8">
        <f>'2008-09'!$I$35</f>
        <v>159154.97583368153</v>
      </c>
      <c r="M17" s="8">
        <f>'2008-09'!$J$35</f>
        <v>55556.224633835103</v>
      </c>
      <c r="N17" s="60">
        <f t="shared" si="18"/>
        <v>0.29292157386755829</v>
      </c>
      <c r="O17" s="7">
        <f>'2008-09'!$K$35</f>
        <v>1839.4440052849707</v>
      </c>
      <c r="P17" s="7">
        <f>'2008-09'!$L$35</f>
        <v>3609.1047169491717</v>
      </c>
      <c r="Q17" s="7">
        <f>'2008-09'!$M$35</f>
        <v>112955.16436484366</v>
      </c>
      <c r="R17" s="59">
        <f t="shared" si="19"/>
        <v>3.1855601784882948E-2</v>
      </c>
    </row>
    <row r="18" spans="1:18">
      <c r="A18" s="7" t="s">
        <v>256</v>
      </c>
      <c r="B18" s="8">
        <f>'2009-10'!$B$35</f>
        <v>3791310.4133617221</v>
      </c>
      <c r="C18" s="7">
        <f>'2009-10'!$C$35</f>
        <v>35870.863679989416</v>
      </c>
      <c r="D18" s="59">
        <f t="shared" si="15"/>
        <v>9.4613365219502112E-3</v>
      </c>
      <c r="E18" s="8">
        <f>'2009-10'!$D$35</f>
        <v>3008.0567476033407</v>
      </c>
      <c r="F18" s="8">
        <f>'2009-10'!$E$35</f>
        <v>815917.28479707008</v>
      </c>
      <c r="G18" s="60">
        <f t="shared" si="16"/>
        <v>0.21600060460851039</v>
      </c>
      <c r="H18" s="7">
        <f>'2009-10'!$F$35</f>
        <v>1701830.4736505346</v>
      </c>
      <c r="I18" s="59">
        <f t="shared" si="17"/>
        <v>0.44887658569258015</v>
      </c>
      <c r="J18" s="8">
        <f>'2009-10'!$G$35</f>
        <v>223476.03461780315</v>
      </c>
      <c r="K18" s="8">
        <f>'2009-10'!$H$35</f>
        <v>673361.59828786401</v>
      </c>
      <c r="L18" s="8">
        <f>'2009-10'!$I$35</f>
        <v>160159.84864363965</v>
      </c>
      <c r="M18" s="8">
        <f>'2009-10'!$J$35</f>
        <v>56932.586792723429</v>
      </c>
      <c r="N18" s="60">
        <f t="shared" si="18"/>
        <v>0.29381135989714918</v>
      </c>
      <c r="O18" s="7">
        <f>'2009-10'!$K$35</f>
        <v>1960.9888358136511</v>
      </c>
      <c r="P18" s="7">
        <f>'2009-10'!$L$35</f>
        <v>3167.8331329222151</v>
      </c>
      <c r="Q18" s="7">
        <f>'2009-10'!$M$35</f>
        <v>115624.84417575873</v>
      </c>
      <c r="R18" s="59">
        <f t="shared" si="19"/>
        <v>3.1850113279810126E-2</v>
      </c>
    </row>
    <row r="19" spans="1:18">
      <c r="A19" s="7" t="s">
        <v>266</v>
      </c>
      <c r="B19" s="8">
        <f>'2010-11'!$B$35</f>
        <v>3732201.1145146098</v>
      </c>
      <c r="C19" s="7">
        <f>'2010-11'!$C$35</f>
        <v>31747.906134864203</v>
      </c>
      <c r="D19" s="59">
        <f t="shared" si="15"/>
        <v>8.5064832147967364E-3</v>
      </c>
      <c r="E19" s="8">
        <f>'2010-11'!$D$35</f>
        <v>2465.3748607660018</v>
      </c>
      <c r="F19" s="8">
        <f>'2010-11'!$E$35</f>
        <v>800241.65174363833</v>
      </c>
      <c r="G19" s="60">
        <f t="shared" si="16"/>
        <v>0.21507603743074283</v>
      </c>
      <c r="H19" s="7">
        <f>'2010-11'!$F$35</f>
        <v>1664536.5138484281</v>
      </c>
      <c r="I19" s="59">
        <f t="shared" si="17"/>
        <v>0.44599325244693006</v>
      </c>
      <c r="J19" s="8">
        <f>'2010-11'!$G$35</f>
        <v>217016.06990617776</v>
      </c>
      <c r="K19" s="8">
        <f>'2010-11'!$H$35</f>
        <v>676723.68247151072</v>
      </c>
      <c r="L19" s="8">
        <f>'2010-11'!$I$35</f>
        <v>160828.48084997004</v>
      </c>
      <c r="M19" s="8">
        <f>'2010-11'!$J$35</f>
        <v>61566.118691628842</v>
      </c>
      <c r="N19" s="60">
        <f t="shared" si="18"/>
        <v>0.2990552539032843</v>
      </c>
      <c r="O19" s="7">
        <f>'2010-11'!$K$35</f>
        <v>2197.5342194327827</v>
      </c>
      <c r="P19" s="7">
        <f>'2010-11'!$L$35</f>
        <v>1591.5318417444953</v>
      </c>
      <c r="Q19" s="7">
        <f>'2010-11'!$M$35</f>
        <v>113286.24994644849</v>
      </c>
      <c r="R19" s="59">
        <f t="shared" si="19"/>
        <v>3.1368973004246035E-2</v>
      </c>
    </row>
    <row r="20" spans="1:18">
      <c r="A20" s="7" t="s">
        <v>320</v>
      </c>
      <c r="B20" s="8">
        <f>'2011-12'!$B$35</f>
        <v>3732142.2948174402</v>
      </c>
      <c r="C20" s="7">
        <f>'2011-12'!$C$35</f>
        <v>30377.483231032085</v>
      </c>
      <c r="D20" s="59">
        <f t="shared" ref="D20" si="20">SUM(C20:C20)/$B20</f>
        <v>8.1394225705743138E-3</v>
      </c>
      <c r="E20" s="8">
        <f>'2011-12'!$D$35</f>
        <v>2504.0471745871041</v>
      </c>
      <c r="F20" s="8">
        <f>'2011-12'!$E$35</f>
        <v>807284.85002847575</v>
      </c>
      <c r="G20" s="60">
        <f t="shared" ref="G20" si="21">SUM(E20:F20)/$B20</f>
        <v>0.21697696208624173</v>
      </c>
      <c r="H20" s="7">
        <f>'2011-12'!$F$35</f>
        <v>1663419.4955071823</v>
      </c>
      <c r="I20" s="59">
        <f t="shared" ref="I20" si="22">SUM(H20:H20)/$B20</f>
        <v>0.44570098461064955</v>
      </c>
      <c r="J20" s="8">
        <f>'2011-12'!$G$35</f>
        <v>214738.08374992092</v>
      </c>
      <c r="K20" s="8">
        <f>'2011-12'!$H$35</f>
        <v>679308.58950832125</v>
      </c>
      <c r="L20" s="8">
        <f>'2011-12'!$I$35</f>
        <v>158412.80627096124</v>
      </c>
      <c r="M20" s="8">
        <f>'2011-12'!$J$35</f>
        <v>61181.642251471247</v>
      </c>
      <c r="N20" s="60">
        <f t="shared" ref="N20" si="23">SUM(J20:M20)/$B20</f>
        <v>0.29839192447916807</v>
      </c>
      <c r="O20" s="7">
        <f>'2011-12'!$K$35</f>
        <v>2030.5286970828327</v>
      </c>
      <c r="P20" s="7">
        <f>'2011-12'!$L$35</f>
        <v>463.33528443966344</v>
      </c>
      <c r="Q20" s="7">
        <f>'2011-12'!$M$35</f>
        <v>112421.43311396572</v>
      </c>
      <c r="R20" s="59">
        <f t="shared" ref="R20" si="24">SUM(O20:Q20)/$B20</f>
        <v>3.0790706253366298E-2</v>
      </c>
    </row>
    <row r="21" spans="1:18">
      <c r="A21" s="7" t="s">
        <v>333</v>
      </c>
      <c r="B21" s="8">
        <f>'2012-13'!$B$35</f>
        <v>3785476</v>
      </c>
      <c r="C21" s="7">
        <f>'2012-13'!$C$35</f>
        <v>25593</v>
      </c>
      <c r="D21" s="59">
        <f t="shared" ref="D21:D23" si="25">SUM(C21:C21)/$B21</f>
        <v>6.7608406446111402E-3</v>
      </c>
      <c r="E21" s="8">
        <f>'2012-13'!$D$35</f>
        <v>2496</v>
      </c>
      <c r="F21" s="8">
        <f>'2012-13'!$E$35</f>
        <v>837106</v>
      </c>
      <c r="G21" s="60">
        <f t="shared" ref="G21:G23" si="26">SUM(E21:F21)/$B21</f>
        <v>0.22179562094700905</v>
      </c>
      <c r="H21" s="7">
        <f>'2012-13'!$F$35</f>
        <v>1681644</v>
      </c>
      <c r="I21" s="59">
        <f t="shared" ref="I21:I23" si="27">SUM(H21:H21)/$B21</f>
        <v>0.44423581076725888</v>
      </c>
      <c r="J21" s="8">
        <f>'2012-13'!$G$35</f>
        <v>211784</v>
      </c>
      <c r="K21" s="8">
        <f>'2012-13'!$H$35</f>
        <v>696499</v>
      </c>
      <c r="L21" s="8">
        <f>'2012-13'!$I$35</f>
        <v>156491</v>
      </c>
      <c r="M21" s="8">
        <f>'2012-13'!$J$35</f>
        <v>63116</v>
      </c>
      <c r="N21" s="60">
        <f t="shared" ref="N21:N23" si="28">SUM(J21:M21)/$B21</f>
        <v>0.29795196165554871</v>
      </c>
      <c r="O21" s="7">
        <f>'2012-13'!$K$35</f>
        <v>0</v>
      </c>
      <c r="P21" s="7">
        <f>'2012-13'!$L$35</f>
        <v>0</v>
      </c>
      <c r="Q21" s="7">
        <f>'2012-13'!$M$35</f>
        <v>110747</v>
      </c>
      <c r="R21" s="59">
        <f t="shared" ref="R21:R23" si="29">SUM(O21:Q21)/$B21</f>
        <v>2.9255765985572224E-2</v>
      </c>
    </row>
    <row r="22" spans="1:18">
      <c r="A22" s="7" t="s">
        <v>379</v>
      </c>
      <c r="B22" s="8">
        <f>'2013-14'!$B$35</f>
        <v>3776318.1622189092</v>
      </c>
      <c r="C22" s="7">
        <f>'2013-14'!$C$35</f>
        <v>34292.60186227673</v>
      </c>
      <c r="D22" s="59">
        <f t="shared" si="25"/>
        <v>9.0809620347579237E-3</v>
      </c>
      <c r="E22" s="8">
        <f>'2013-14'!$D$35</f>
        <v>1554.2584365395735</v>
      </c>
      <c r="F22" s="8">
        <f>'2013-14'!$E$35</f>
        <v>840707.8882025379</v>
      </c>
      <c r="G22" s="60">
        <f t="shared" si="26"/>
        <v>0.22303791959737221</v>
      </c>
      <c r="H22" s="7">
        <f>'2013-14'!$F$35</f>
        <v>1675554.2535678425</v>
      </c>
      <c r="I22" s="59">
        <f t="shared" si="27"/>
        <v>0.4437004991611489</v>
      </c>
      <c r="J22" s="8">
        <f>'2013-14'!$G$35</f>
        <v>218759.671362931</v>
      </c>
      <c r="K22" s="8">
        <f>'2013-14'!$H$35</f>
        <v>674656.87140553212</v>
      </c>
      <c r="L22" s="8">
        <f>'2013-14'!$I$35</f>
        <v>153111.59495481243</v>
      </c>
      <c r="M22" s="8">
        <f>'2013-14'!$J$35</f>
        <v>67781.141861668148</v>
      </c>
      <c r="N22" s="60">
        <f t="shared" si="28"/>
        <v>0.29507823009547268</v>
      </c>
      <c r="O22" s="7">
        <f>'2013-14'!$K$35</f>
        <v>0</v>
      </c>
      <c r="P22" s="7">
        <f>'2013-14'!$L$35</f>
        <v>0</v>
      </c>
      <c r="Q22" s="7">
        <f>'2013-14'!$M$35</f>
        <v>105985.34309101422</v>
      </c>
      <c r="R22" s="59">
        <f t="shared" si="29"/>
        <v>2.8065787504710352E-2</v>
      </c>
    </row>
    <row r="23" spans="1:18">
      <c r="A23" s="7" t="s">
        <v>388</v>
      </c>
      <c r="B23" s="8">
        <f>'2014-15'!$B$35</f>
        <v>3808461.3492000001</v>
      </c>
      <c r="C23" s="7">
        <f>'2014-15'!$C$35</f>
        <v>35174.020949999998</v>
      </c>
      <c r="D23" s="59">
        <f t="shared" si="25"/>
        <v>9.235756313343866E-3</v>
      </c>
      <c r="E23" s="8">
        <f>'2014-15'!$D$35</f>
        <v>1109.41695</v>
      </c>
      <c r="F23" s="8">
        <f>'2014-15'!$E$35</f>
        <v>853580.95980000007</v>
      </c>
      <c r="G23" s="60">
        <f t="shared" si="26"/>
        <v>0.22441881336921932</v>
      </c>
      <c r="H23" s="7">
        <f>'2014-15'!$F$35</f>
        <v>1694246.7228000001</v>
      </c>
      <c r="I23" s="59">
        <f t="shared" si="27"/>
        <v>0.44486383540583685</v>
      </c>
      <c r="J23" s="8">
        <f>'2014-15'!$G$35</f>
        <v>221124.46770000001</v>
      </c>
      <c r="K23" s="8">
        <f>'2014-15'!$H$35</f>
        <v>673287.67050000001</v>
      </c>
      <c r="L23" s="8">
        <f>'2014-15'!$I$35</f>
        <v>154143.29865000001</v>
      </c>
      <c r="M23" s="8">
        <f>'2014-15'!$J$35</f>
        <v>68826.335099999997</v>
      </c>
      <c r="N23" s="60">
        <f t="shared" si="28"/>
        <v>0.29339454165255363</v>
      </c>
      <c r="O23" s="7">
        <f>'2014-15'!$K$35</f>
        <v>0</v>
      </c>
      <c r="P23" s="7">
        <f>'2014-15'!$L$35</f>
        <v>0</v>
      </c>
      <c r="Q23" s="7">
        <f>'2014-15'!$M$35</f>
        <v>106968.45675</v>
      </c>
      <c r="R23" s="59">
        <f t="shared" si="29"/>
        <v>2.8087053259046372E-2</v>
      </c>
    </row>
    <row r="24" spans="1:18">
      <c r="A24" s="56" t="s">
        <v>64</v>
      </c>
      <c r="B24" s="57">
        <f>(B23-B14)/B14</f>
        <v>0.14436319046737214</v>
      </c>
      <c r="C24" s="58">
        <f>(C23-C14)/C14</f>
        <v>0.12260627189166676</v>
      </c>
      <c r="D24" s="58"/>
      <c r="E24" s="566">
        <f>(E23-E14)/E14</f>
        <v>-0.62631584431137732</v>
      </c>
      <c r="F24" s="57">
        <f>(F23-F14)/F14</f>
        <v>0.22435619617843042</v>
      </c>
      <c r="G24" s="57"/>
      <c r="H24" s="58">
        <f>(H23-H14)/H14</f>
        <v>0.14074556040464181</v>
      </c>
      <c r="I24" s="58"/>
      <c r="J24" s="57">
        <f>(J23-J14)/J14</f>
        <v>3.1173712438168202E-2</v>
      </c>
      <c r="K24" s="57">
        <f>(K23-K14)/K14</f>
        <v>0.19751489042816889</v>
      </c>
      <c r="L24" s="57">
        <f>(L23-L14)/L14</f>
        <v>-0.11828812220354158</v>
      </c>
      <c r="M24" s="57">
        <f>(M23-M14)/M14</f>
        <v>0.55695146196948941</v>
      </c>
      <c r="N24" s="57"/>
      <c r="O24" s="58"/>
      <c r="P24" s="58"/>
      <c r="Q24" s="58">
        <f>(Q23-Q14)/Q14</f>
        <v>-2.782848102629298E-2</v>
      </c>
      <c r="R24" s="58"/>
    </row>
    <row r="25" spans="1:18">
      <c r="F25" s="15"/>
    </row>
    <row r="26" spans="1:18">
      <c r="A26" s="1" t="s">
        <v>6</v>
      </c>
      <c r="H26" s="15"/>
      <c r="L26" s="18"/>
      <c r="M26" s="18"/>
      <c r="N26" s="18"/>
    </row>
    <row r="27" spans="1:18">
      <c r="A27" t="s">
        <v>7</v>
      </c>
      <c r="H27" s="15"/>
      <c r="J27" s="15"/>
      <c r="K27" s="18"/>
      <c r="L27" s="18"/>
      <c r="M27" s="18"/>
    </row>
    <row r="28" spans="1:18">
      <c r="A28" t="s">
        <v>350</v>
      </c>
      <c r="H28" s="15"/>
      <c r="J28" s="15"/>
      <c r="K28" s="18"/>
      <c r="L28" s="18"/>
      <c r="M28" s="18"/>
      <c r="N28" s="18"/>
      <c r="O28" s="18"/>
    </row>
    <row r="29" spans="1:18">
      <c r="A29" t="s">
        <v>353</v>
      </c>
      <c r="H29" s="15"/>
      <c r="K29" s="18"/>
      <c r="L29" s="18"/>
      <c r="M29" s="18"/>
      <c r="N29" s="18"/>
      <c r="O29" s="18"/>
    </row>
    <row r="30" spans="1:18">
      <c r="A30" s="2"/>
      <c r="B30" s="3"/>
      <c r="C30" s="3"/>
      <c r="D30" s="3"/>
      <c r="E30" s="3"/>
      <c r="F30" s="3"/>
      <c r="G30" s="3"/>
      <c r="H30" s="3"/>
      <c r="I30" s="3"/>
      <c r="K30" s="18"/>
      <c r="L30" s="18"/>
      <c r="M30" s="18"/>
      <c r="N30" s="18"/>
      <c r="O30" s="18"/>
      <c r="R30" s="3"/>
    </row>
    <row r="31" spans="1:18">
      <c r="A31" s="731"/>
      <c r="B31" s="732"/>
      <c r="C31" s="732"/>
      <c r="D31" s="732"/>
      <c r="E31" s="732"/>
      <c r="F31" s="732"/>
      <c r="G31" s="732"/>
      <c r="H31" s="732"/>
      <c r="I31" s="54"/>
      <c r="K31" s="18"/>
      <c r="L31" s="18"/>
      <c r="M31" s="18"/>
      <c r="N31" s="18"/>
      <c r="O31" s="18"/>
      <c r="R31" s="54"/>
    </row>
    <row r="32" spans="1:18">
      <c r="A32" s="4"/>
      <c r="B32" s="3"/>
      <c r="C32" s="3"/>
      <c r="D32" s="3"/>
      <c r="E32" s="3"/>
      <c r="F32" s="3"/>
      <c r="G32" s="3"/>
      <c r="H32" s="3"/>
      <c r="I32" s="3"/>
      <c r="K32" s="18"/>
      <c r="L32" s="18"/>
      <c r="N32" s="18"/>
      <c r="O32" s="18"/>
      <c r="R32" s="3"/>
    </row>
    <row r="33" spans="1:18">
      <c r="A33" s="2"/>
      <c r="B33" s="3"/>
      <c r="C33" s="3"/>
      <c r="D33" s="3"/>
      <c r="E33" s="3"/>
      <c r="F33" s="3"/>
      <c r="G33" s="3"/>
      <c r="H33" s="3"/>
      <c r="I33" s="3"/>
      <c r="L33" s="18"/>
      <c r="M33" s="18"/>
      <c r="N33" s="120"/>
      <c r="R33" s="3"/>
    </row>
    <row r="34" spans="1:18">
      <c r="A34" s="732"/>
      <c r="B34" s="733"/>
      <c r="C34" s="733"/>
      <c r="D34" s="733"/>
      <c r="E34" s="733"/>
      <c r="F34" s="733"/>
      <c r="G34" s="733"/>
      <c r="H34" s="733"/>
      <c r="I34" s="55"/>
      <c r="M34" s="18"/>
      <c r="N34" s="18"/>
      <c r="R34" s="55"/>
    </row>
    <row r="35" spans="1:18">
      <c r="A35" s="3"/>
      <c r="B35" s="3"/>
      <c r="C35" s="3"/>
      <c r="D35" s="3"/>
      <c r="E35" s="3"/>
      <c r="F35" s="3"/>
      <c r="G35" s="3"/>
      <c r="H35" s="3"/>
      <c r="I35" s="3"/>
      <c r="M35" s="18"/>
      <c r="N35" s="120"/>
      <c r="R35" s="3"/>
    </row>
    <row r="36" spans="1:18">
      <c r="A36" s="5"/>
      <c r="B36" s="3"/>
      <c r="C36" s="3"/>
      <c r="D36" s="3"/>
      <c r="E36" s="3"/>
      <c r="F36" s="3"/>
      <c r="G36" s="3"/>
      <c r="H36" s="3"/>
      <c r="I36" s="3"/>
      <c r="M36" s="18"/>
      <c r="N36" s="120"/>
      <c r="R36" s="3"/>
    </row>
    <row r="37" spans="1:18">
      <c r="M37" s="18"/>
      <c r="N37" s="18"/>
    </row>
    <row r="38" spans="1:18">
      <c r="A38" s="6"/>
      <c r="B38" s="3"/>
      <c r="C38" s="3"/>
      <c r="D38" s="3"/>
      <c r="E38" s="3"/>
      <c r="F38" s="3"/>
      <c r="G38" s="3"/>
      <c r="H38" s="3"/>
      <c r="I38" s="3"/>
      <c r="N38" s="3"/>
      <c r="R38" s="3"/>
    </row>
    <row r="39" spans="1:18">
      <c r="A39" s="5"/>
      <c r="B39" s="3"/>
      <c r="C39" s="3"/>
      <c r="D39" s="3"/>
      <c r="E39" s="3"/>
      <c r="F39" s="3"/>
      <c r="G39" s="3"/>
      <c r="H39" s="3"/>
      <c r="I39" s="3"/>
      <c r="N39" s="3"/>
      <c r="R39" s="3"/>
    </row>
    <row r="41" spans="1:18">
      <c r="A41" s="6"/>
      <c r="B41" s="3"/>
      <c r="C41" s="3"/>
      <c r="D41" s="3"/>
      <c r="E41" s="3"/>
      <c r="F41" s="3"/>
      <c r="G41" s="3"/>
      <c r="H41" s="3"/>
      <c r="I41" s="3"/>
      <c r="N41" s="3"/>
      <c r="R41" s="3"/>
    </row>
    <row r="42" spans="1:18">
      <c r="A42" s="5"/>
      <c r="B42" s="3"/>
      <c r="C42" s="3"/>
      <c r="D42" s="3"/>
      <c r="E42" s="3"/>
      <c r="F42" s="3"/>
      <c r="G42" s="3"/>
      <c r="H42" s="3"/>
      <c r="I42" s="3"/>
      <c r="N42" s="3"/>
      <c r="R42" s="3"/>
    </row>
  </sheetData>
  <sheetProtection selectLockedCells="1" selectUnlockedCells="1"/>
  <mergeCells count="2">
    <mergeCell ref="A31:H31"/>
    <mergeCell ref="A34:H34"/>
  </mergeCells>
  <phoneticPr fontId="5" type="noConversion"/>
  <pageMargins left="0.75" right="0.75" top="1" bottom="1" header="0.5" footer="0.5"/>
  <pageSetup paperSize="9" scale="6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86"/>
  <sheetViews>
    <sheetView topLeftCell="A34" workbookViewId="0">
      <selection activeCell="F8" sqref="F8"/>
    </sheetView>
  </sheetViews>
  <sheetFormatPr defaultRowHeight="12.75"/>
  <cols>
    <col min="1" max="1" width="23.7109375" style="24" bestFit="1" customWidth="1"/>
    <col min="2" max="2" width="14.5703125" style="23" customWidth="1"/>
    <col min="3" max="3" width="15" style="23" customWidth="1"/>
    <col min="4" max="7" width="14.5703125" style="23" customWidth="1"/>
    <col min="8" max="8" width="15" style="23" customWidth="1"/>
    <col min="9" max="11" width="14.5703125" style="23" customWidth="1"/>
    <col min="14" max="15" width="35.42578125" bestFit="1" customWidth="1"/>
    <col min="16" max="16" width="34.42578125" customWidth="1"/>
  </cols>
  <sheetData>
    <row r="1" spans="1:16" ht="15.75" thickBot="1">
      <c r="B1" s="734" t="s">
        <v>66</v>
      </c>
      <c r="C1" s="735"/>
      <c r="D1" s="735"/>
      <c r="E1" s="735"/>
      <c r="F1" s="736"/>
      <c r="G1" s="737" t="s">
        <v>67</v>
      </c>
      <c r="H1" s="738"/>
      <c r="I1" s="738"/>
      <c r="J1" s="738"/>
      <c r="K1" s="739"/>
    </row>
    <row r="2" spans="1:16" ht="15.75" thickBot="1">
      <c r="A2" s="38" t="s">
        <v>26</v>
      </c>
      <c r="B2" s="42" t="s">
        <v>4</v>
      </c>
      <c r="C2" s="42" t="s">
        <v>0</v>
      </c>
      <c r="D2" s="42" t="s">
        <v>1</v>
      </c>
      <c r="E2" s="42" t="s">
        <v>28</v>
      </c>
      <c r="F2" s="42" t="s">
        <v>65</v>
      </c>
      <c r="G2" s="46" t="s">
        <v>4</v>
      </c>
      <c r="H2" s="46" t="s">
        <v>0</v>
      </c>
      <c r="I2" s="46" t="s">
        <v>1</v>
      </c>
      <c r="J2" s="46" t="s">
        <v>28</v>
      </c>
      <c r="K2" s="46" t="s">
        <v>65</v>
      </c>
    </row>
    <row r="3" spans="1:16">
      <c r="A3" s="39" t="s">
        <v>31</v>
      </c>
      <c r="B3" s="43">
        <v>77819.626016115915</v>
      </c>
      <c r="C3" s="43">
        <v>80440.619600464313</v>
      </c>
      <c r="D3" s="43">
        <v>83968.654446894157</v>
      </c>
      <c r="E3" s="43">
        <v>82936.456292738527</v>
      </c>
      <c r="F3" s="43">
        <v>82642.44442777666</v>
      </c>
      <c r="G3" s="47">
        <v>93601</v>
      </c>
      <c r="H3" s="47">
        <v>99233</v>
      </c>
      <c r="I3" s="47">
        <v>102507</v>
      </c>
      <c r="J3" s="47">
        <v>99872</v>
      </c>
      <c r="K3" s="47">
        <v>112093</v>
      </c>
      <c r="L3" s="263"/>
      <c r="N3" s="281"/>
      <c r="O3" s="282"/>
      <c r="P3" s="281"/>
    </row>
    <row r="4" spans="1:16">
      <c r="A4" s="39" t="s">
        <v>32</v>
      </c>
      <c r="B4" s="43">
        <v>70424.927328132937</v>
      </c>
      <c r="C4" s="43">
        <v>76159.928671612681</v>
      </c>
      <c r="D4" s="43">
        <v>79837.350984661753</v>
      </c>
      <c r="E4" s="43">
        <v>81413.961148603557</v>
      </c>
      <c r="F4" s="43">
        <v>82189.028677029695</v>
      </c>
      <c r="G4" s="47">
        <v>76980</v>
      </c>
      <c r="H4" s="47">
        <v>83381</v>
      </c>
      <c r="I4" s="47">
        <v>94480</v>
      </c>
      <c r="J4" s="47">
        <v>108531</v>
      </c>
      <c r="K4" s="47">
        <v>122237</v>
      </c>
      <c r="L4" s="263"/>
      <c r="N4" s="281"/>
      <c r="O4" s="282"/>
    </row>
    <row r="5" spans="1:16">
      <c r="A5" s="39" t="s">
        <v>33</v>
      </c>
      <c r="B5" s="43">
        <v>43695.977218109976</v>
      </c>
      <c r="C5" s="43">
        <v>46308.770038437156</v>
      </c>
      <c r="D5" s="43">
        <v>48374.392493513864</v>
      </c>
      <c r="E5" s="43">
        <v>46970.323667629615</v>
      </c>
      <c r="F5" s="43">
        <v>47181.468669499205</v>
      </c>
      <c r="G5" s="47">
        <v>43373</v>
      </c>
      <c r="H5" s="47">
        <v>46121</v>
      </c>
      <c r="I5" s="47">
        <v>48229</v>
      </c>
      <c r="J5" s="47">
        <v>57609</v>
      </c>
      <c r="K5" s="47">
        <v>60451</v>
      </c>
      <c r="L5" s="263"/>
      <c r="N5" s="281"/>
      <c r="O5" s="282"/>
    </row>
    <row r="6" spans="1:16">
      <c r="A6" s="40" t="s">
        <v>34</v>
      </c>
      <c r="B6" s="44">
        <v>35653.669492302761</v>
      </c>
      <c r="C6" s="44">
        <v>38729.081585416905</v>
      </c>
      <c r="D6" s="44">
        <v>40347.451986172739</v>
      </c>
      <c r="E6" s="44">
        <v>39893.535853358648</v>
      </c>
      <c r="F6" s="44">
        <v>39887.390973551963</v>
      </c>
      <c r="G6" s="48">
        <v>33860</v>
      </c>
      <c r="H6" s="48">
        <v>38899</v>
      </c>
      <c r="I6" s="48">
        <v>40388</v>
      </c>
      <c r="J6" s="48">
        <v>43704</v>
      </c>
      <c r="K6" s="48">
        <v>48692</v>
      </c>
      <c r="L6" s="263"/>
      <c r="N6" s="281"/>
      <c r="O6" s="282"/>
    </row>
    <row r="7" spans="1:16">
      <c r="A7" s="39" t="s">
        <v>35</v>
      </c>
      <c r="B7" s="43">
        <v>16557.7585750711</v>
      </c>
      <c r="C7" s="43">
        <v>18067.845934507699</v>
      </c>
      <c r="D7" s="43">
        <v>18930.038334748097</v>
      </c>
      <c r="E7" s="43">
        <v>19650.92641797573</v>
      </c>
      <c r="F7" s="43">
        <v>19857.147797025573</v>
      </c>
      <c r="G7" s="47">
        <v>17170</v>
      </c>
      <c r="H7" s="47">
        <v>18493</v>
      </c>
      <c r="I7" s="47">
        <v>19188</v>
      </c>
      <c r="J7" s="47">
        <v>21733</v>
      </c>
      <c r="K7" s="47">
        <v>25517</v>
      </c>
      <c r="L7" s="263"/>
      <c r="N7" s="281"/>
      <c r="O7" s="282"/>
    </row>
    <row r="8" spans="1:16">
      <c r="A8" s="39" t="s">
        <v>36</v>
      </c>
      <c r="B8" s="43">
        <v>56271.734937642032</v>
      </c>
      <c r="C8" s="43">
        <v>61364.17031477105</v>
      </c>
      <c r="D8" s="43">
        <v>64409.559173352653</v>
      </c>
      <c r="E8" s="43">
        <v>65079.688088935276</v>
      </c>
      <c r="F8" s="43">
        <v>65579.021725878891</v>
      </c>
      <c r="G8" s="47">
        <v>58284</v>
      </c>
      <c r="H8" s="47">
        <v>63128</v>
      </c>
      <c r="I8" s="47">
        <v>69978</v>
      </c>
      <c r="J8" s="47">
        <v>74598</v>
      </c>
      <c r="K8" s="47">
        <v>80386</v>
      </c>
      <c r="L8" s="263"/>
      <c r="N8" s="281"/>
      <c r="O8" s="282"/>
    </row>
    <row r="9" spans="1:16">
      <c r="A9" s="39" t="s">
        <v>37</v>
      </c>
      <c r="B9" s="43">
        <v>62940.157813536789</v>
      </c>
      <c r="C9" s="43">
        <v>65232.690795245733</v>
      </c>
      <c r="D9" s="43">
        <v>67583.208999592098</v>
      </c>
      <c r="E9" s="43">
        <v>67822.063345208007</v>
      </c>
      <c r="F9" s="43">
        <v>67331.916701640177</v>
      </c>
      <c r="G9" s="47">
        <v>65486</v>
      </c>
      <c r="H9" s="47">
        <v>68744</v>
      </c>
      <c r="I9" s="47">
        <v>73517</v>
      </c>
      <c r="J9" s="47">
        <v>79967</v>
      </c>
      <c r="K9" s="47">
        <v>85456</v>
      </c>
      <c r="L9" s="263"/>
      <c r="N9" s="281"/>
      <c r="O9" s="282"/>
    </row>
    <row r="10" spans="1:16">
      <c r="A10" s="40" t="s">
        <v>38</v>
      </c>
      <c r="B10" s="44">
        <v>46889.050275574002</v>
      </c>
      <c r="C10" s="44">
        <v>49249.088326390265</v>
      </c>
      <c r="D10" s="44">
        <v>51091.120495985524</v>
      </c>
      <c r="E10" s="44">
        <v>50512.193124427249</v>
      </c>
      <c r="F10" s="44">
        <v>50429.724369506803</v>
      </c>
      <c r="G10" s="48">
        <v>42014</v>
      </c>
      <c r="H10" s="48">
        <v>46973</v>
      </c>
      <c r="I10" s="48">
        <v>51235</v>
      </c>
      <c r="J10" s="48">
        <v>54898</v>
      </c>
      <c r="K10" s="48">
        <v>60830</v>
      </c>
      <c r="L10" s="263"/>
      <c r="N10" s="281"/>
      <c r="O10" s="282"/>
    </row>
    <row r="11" spans="1:16">
      <c r="A11" s="39" t="s">
        <v>39</v>
      </c>
      <c r="B11" s="43">
        <v>31725.854931418991</v>
      </c>
      <c r="C11" s="43">
        <v>33525.757307192536</v>
      </c>
      <c r="D11" s="43">
        <v>35050.298527893989</v>
      </c>
      <c r="E11" s="43">
        <v>36114.206960962874</v>
      </c>
      <c r="F11" s="43">
        <v>36412.020591551933</v>
      </c>
      <c r="G11" s="47">
        <v>30963</v>
      </c>
      <c r="H11" s="47">
        <v>32875</v>
      </c>
      <c r="I11" s="47">
        <v>34414</v>
      </c>
      <c r="J11" s="47">
        <v>37095</v>
      </c>
      <c r="K11" s="47">
        <v>45528</v>
      </c>
      <c r="L11" s="263"/>
      <c r="N11" s="281"/>
      <c r="O11" s="282"/>
    </row>
    <row r="12" spans="1:16">
      <c r="A12" s="39" t="s">
        <v>40</v>
      </c>
      <c r="B12" s="43">
        <v>33675.974386290029</v>
      </c>
      <c r="C12" s="43">
        <v>35820.816423866017</v>
      </c>
      <c r="D12" s="43">
        <v>37444.35298737578</v>
      </c>
      <c r="E12" s="43">
        <v>37603.282511674079</v>
      </c>
      <c r="F12" s="43">
        <v>37808.109488805989</v>
      </c>
      <c r="G12" s="47">
        <v>34527</v>
      </c>
      <c r="H12" s="47">
        <v>38678</v>
      </c>
      <c r="I12" s="47">
        <v>40181</v>
      </c>
      <c r="J12" s="47">
        <v>49745</v>
      </c>
      <c r="K12" s="47">
        <v>56527</v>
      </c>
      <c r="L12" s="263"/>
      <c r="N12" s="281"/>
      <c r="O12" s="282"/>
    </row>
    <row r="13" spans="1:16">
      <c r="A13" s="39" t="s">
        <v>41</v>
      </c>
      <c r="B13" s="43">
        <v>28152.89266542617</v>
      </c>
      <c r="C13" s="43">
        <v>30499.602977503386</v>
      </c>
      <c r="D13" s="43">
        <v>31947.099884469637</v>
      </c>
      <c r="E13" s="43">
        <v>32027.4822951243</v>
      </c>
      <c r="F13" s="43">
        <v>32393.577851687056</v>
      </c>
      <c r="G13" s="47">
        <v>27907</v>
      </c>
      <c r="H13" s="47">
        <v>30253</v>
      </c>
      <c r="I13" s="47">
        <v>31537</v>
      </c>
      <c r="J13" s="47">
        <v>39135</v>
      </c>
      <c r="K13" s="47">
        <v>38288</v>
      </c>
      <c r="L13" s="263"/>
      <c r="N13" s="281"/>
      <c r="O13" s="282"/>
    </row>
    <row r="14" spans="1:16">
      <c r="A14" s="40" t="s">
        <v>140</v>
      </c>
      <c r="B14" s="44">
        <v>166293.52996765895</v>
      </c>
      <c r="C14" s="44">
        <v>171346.85063380451</v>
      </c>
      <c r="D14" s="44">
        <v>177285.82577875891</v>
      </c>
      <c r="E14" s="44">
        <v>186047.74656836019</v>
      </c>
      <c r="F14" s="44">
        <v>186087.67756166845</v>
      </c>
      <c r="G14" s="48">
        <v>189719</v>
      </c>
      <c r="H14" s="48">
        <v>194391</v>
      </c>
      <c r="I14" s="48">
        <v>207304</v>
      </c>
      <c r="J14" s="48">
        <v>233951</v>
      </c>
      <c r="K14" s="48">
        <v>251938</v>
      </c>
      <c r="L14" s="263"/>
      <c r="N14" s="281"/>
      <c r="O14" s="283"/>
    </row>
    <row r="15" spans="1:16">
      <c r="A15" s="39" t="s">
        <v>42</v>
      </c>
      <c r="B15" s="43">
        <v>10339.561092910895</v>
      </c>
      <c r="C15" s="43">
        <v>10964.526063248904</v>
      </c>
      <c r="D15" s="43">
        <v>11314.442360959887</v>
      </c>
      <c r="E15" s="43">
        <v>11725.379424780136</v>
      </c>
      <c r="F15" s="43">
        <v>11706.228349292387</v>
      </c>
      <c r="G15" s="47">
        <v>14596</v>
      </c>
      <c r="H15" s="47">
        <v>16618</v>
      </c>
      <c r="I15" s="47">
        <v>16944</v>
      </c>
      <c r="J15" s="47">
        <v>18698</v>
      </c>
      <c r="K15" s="47">
        <v>21601</v>
      </c>
      <c r="L15" s="263"/>
      <c r="N15" s="281"/>
      <c r="O15" s="283"/>
    </row>
    <row r="16" spans="1:16">
      <c r="A16" s="39" t="s">
        <v>43</v>
      </c>
      <c r="B16" s="43">
        <v>52556.829520701489</v>
      </c>
      <c r="C16" s="43">
        <v>54459.979439740229</v>
      </c>
      <c r="D16" s="43">
        <v>56661.156273273344</v>
      </c>
      <c r="E16" s="43">
        <v>58403.223790602446</v>
      </c>
      <c r="F16" s="43">
        <v>58459.456057355317</v>
      </c>
      <c r="G16" s="47">
        <v>54412</v>
      </c>
      <c r="H16" s="47">
        <v>58275</v>
      </c>
      <c r="I16" s="47">
        <v>62207</v>
      </c>
      <c r="J16" s="47">
        <v>67988</v>
      </c>
      <c r="K16" s="47">
        <v>72437</v>
      </c>
      <c r="L16" s="263"/>
      <c r="N16" s="281"/>
      <c r="O16" s="283"/>
    </row>
    <row r="17" spans="1:15">
      <c r="A17" s="39" t="s">
        <v>44</v>
      </c>
      <c r="B17" s="43">
        <v>128453.66140397705</v>
      </c>
      <c r="C17" s="43">
        <v>135759.26351745467</v>
      </c>
      <c r="D17" s="43">
        <v>141333.62347885489</v>
      </c>
      <c r="E17" s="43">
        <v>147490.03762152191</v>
      </c>
      <c r="F17" s="43">
        <v>148021.79999207193</v>
      </c>
      <c r="G17" s="47">
        <v>123106</v>
      </c>
      <c r="H17" s="47">
        <v>132508</v>
      </c>
      <c r="I17" s="47">
        <v>148454</v>
      </c>
      <c r="J17" s="47">
        <v>175126</v>
      </c>
      <c r="K17" s="47">
        <v>186193</v>
      </c>
      <c r="L17" s="263"/>
      <c r="N17" s="281"/>
      <c r="O17" s="283"/>
    </row>
    <row r="18" spans="1:15">
      <c r="A18" s="40" t="s">
        <v>45</v>
      </c>
      <c r="B18" s="44">
        <v>259277.09262056916</v>
      </c>
      <c r="C18" s="44">
        <v>275006.52475263673</v>
      </c>
      <c r="D18" s="44">
        <v>281622.32111426844</v>
      </c>
      <c r="E18" s="44">
        <v>285505.92086799361</v>
      </c>
      <c r="F18" s="44">
        <v>281582.79479211167</v>
      </c>
      <c r="G18" s="48">
        <v>296173</v>
      </c>
      <c r="H18" s="48">
        <v>303598</v>
      </c>
      <c r="I18" s="48">
        <v>321598</v>
      </c>
      <c r="J18" s="48">
        <v>356835</v>
      </c>
      <c r="K18" s="48">
        <v>369100</v>
      </c>
      <c r="L18" s="263"/>
      <c r="N18" s="281"/>
      <c r="O18" s="282"/>
    </row>
    <row r="19" spans="1:15">
      <c r="A19" s="39" t="s">
        <v>46</v>
      </c>
      <c r="B19" s="43">
        <v>75472.187741181478</v>
      </c>
      <c r="C19" s="43">
        <v>81150.230754332122</v>
      </c>
      <c r="D19" s="43">
        <v>84534.22634237961</v>
      </c>
      <c r="E19" s="43">
        <v>84444.141622338982</v>
      </c>
      <c r="F19" s="43">
        <v>84949.713576010952</v>
      </c>
      <c r="G19" s="47">
        <v>77622</v>
      </c>
      <c r="H19" s="47">
        <v>83463</v>
      </c>
      <c r="I19" s="47">
        <v>89074</v>
      </c>
      <c r="J19" s="47">
        <v>100328</v>
      </c>
      <c r="K19" s="47">
        <v>105441</v>
      </c>
      <c r="L19" s="263"/>
      <c r="N19" s="281"/>
      <c r="O19" s="282"/>
    </row>
    <row r="20" spans="1:15">
      <c r="A20" s="39" t="s">
        <v>47</v>
      </c>
      <c r="B20" s="43">
        <v>35017.446414750346</v>
      </c>
      <c r="C20" s="43">
        <v>37655.054703371767</v>
      </c>
      <c r="D20" s="43">
        <v>38840.553527220589</v>
      </c>
      <c r="E20" s="43">
        <v>38677.665344687572</v>
      </c>
      <c r="F20" s="43">
        <v>38245.990345118109</v>
      </c>
      <c r="G20" s="47">
        <v>35014</v>
      </c>
      <c r="H20" s="47">
        <v>37107</v>
      </c>
      <c r="I20" s="47">
        <v>40141</v>
      </c>
      <c r="J20" s="47">
        <v>44349</v>
      </c>
      <c r="K20" s="47">
        <v>50480</v>
      </c>
      <c r="L20" s="263"/>
      <c r="N20" s="281"/>
      <c r="O20" s="282"/>
    </row>
    <row r="21" spans="1:15">
      <c r="A21" s="39" t="s">
        <v>48</v>
      </c>
      <c r="B21" s="43">
        <v>28204.492357425283</v>
      </c>
      <c r="C21" s="43">
        <v>29977.4219626464</v>
      </c>
      <c r="D21" s="43">
        <v>31432.207415015604</v>
      </c>
      <c r="E21" s="43">
        <v>31648.79939548039</v>
      </c>
      <c r="F21" s="43">
        <v>31641.146893794979</v>
      </c>
      <c r="G21" s="47">
        <v>30994</v>
      </c>
      <c r="H21" s="47">
        <v>31187</v>
      </c>
      <c r="I21" s="47">
        <v>36682</v>
      </c>
      <c r="J21" s="47">
        <v>43634</v>
      </c>
      <c r="K21" s="47">
        <v>42042</v>
      </c>
      <c r="L21" s="263"/>
      <c r="N21" s="281"/>
      <c r="O21" s="282"/>
    </row>
    <row r="22" spans="1:15">
      <c r="A22" s="40" t="s">
        <v>49</v>
      </c>
      <c r="B22" s="44">
        <v>29100.998210610658</v>
      </c>
      <c r="C22" s="44">
        <v>30712.347201528773</v>
      </c>
      <c r="D22" s="44">
        <v>32081.513956532024</v>
      </c>
      <c r="E22" s="44">
        <v>32799.317891182356</v>
      </c>
      <c r="F22" s="44">
        <v>32969.248590577226</v>
      </c>
      <c r="G22" s="48">
        <v>31079</v>
      </c>
      <c r="H22" s="48">
        <v>34989</v>
      </c>
      <c r="I22" s="48">
        <v>37953</v>
      </c>
      <c r="J22" s="48">
        <v>42064</v>
      </c>
      <c r="K22" s="48">
        <v>44961</v>
      </c>
      <c r="L22" s="263"/>
      <c r="N22" s="281"/>
      <c r="O22" s="282"/>
    </row>
    <row r="23" spans="1:15">
      <c r="A23" s="39" t="s">
        <v>50</v>
      </c>
      <c r="B23" s="43">
        <v>53505.036610943556</v>
      </c>
      <c r="C23" s="43">
        <v>57453.060263868858</v>
      </c>
      <c r="D23" s="43">
        <v>59618.074713132322</v>
      </c>
      <c r="E23" s="43">
        <v>59820.909192043175</v>
      </c>
      <c r="F23" s="43">
        <v>59753.480279358882</v>
      </c>
      <c r="G23" s="47">
        <v>50799</v>
      </c>
      <c r="H23" s="47">
        <v>57323</v>
      </c>
      <c r="I23" s="47">
        <v>62930</v>
      </c>
      <c r="J23" s="47">
        <v>70489</v>
      </c>
      <c r="K23" s="47">
        <v>75578</v>
      </c>
      <c r="L23" s="263"/>
      <c r="N23" s="281"/>
      <c r="O23" s="282"/>
    </row>
    <row r="24" spans="1:15">
      <c r="A24" s="39" t="s">
        <v>51</v>
      </c>
      <c r="B24" s="43">
        <v>111217.70250714294</v>
      </c>
      <c r="C24" s="43">
        <v>120953.71251505632</v>
      </c>
      <c r="D24" s="43">
        <v>125234.75966173802</v>
      </c>
      <c r="E24" s="43">
        <v>128563.18535773354</v>
      </c>
      <c r="F24" s="43">
        <v>128554.84182158756</v>
      </c>
      <c r="G24" s="47">
        <v>109206</v>
      </c>
      <c r="H24" s="47">
        <v>119230</v>
      </c>
      <c r="I24" s="47">
        <v>127445</v>
      </c>
      <c r="J24" s="47">
        <v>165180</v>
      </c>
      <c r="K24" s="47">
        <v>169446</v>
      </c>
      <c r="L24" s="263"/>
      <c r="N24" s="281"/>
      <c r="O24" s="282"/>
    </row>
    <row r="25" spans="1:15">
      <c r="A25" s="39" t="s">
        <v>52</v>
      </c>
      <c r="B25" s="43">
        <v>6061.754055838056</v>
      </c>
      <c r="C25" s="43">
        <v>6661.6735976239715</v>
      </c>
      <c r="D25" s="43">
        <v>6887.6033748786213</v>
      </c>
      <c r="E25" s="43">
        <v>7481.2205091101096</v>
      </c>
      <c r="F25" s="43">
        <v>7518.2806590653836</v>
      </c>
      <c r="G25" s="47">
        <v>11263</v>
      </c>
      <c r="H25" s="47">
        <v>11703</v>
      </c>
      <c r="I25" s="47">
        <v>12650</v>
      </c>
      <c r="J25" s="47">
        <v>13949</v>
      </c>
      <c r="K25" s="47">
        <v>14770</v>
      </c>
      <c r="L25" s="263"/>
      <c r="N25" s="281"/>
      <c r="O25" s="282"/>
    </row>
    <row r="26" spans="1:15">
      <c r="A26" s="40" t="s">
        <v>53</v>
      </c>
      <c r="B26" s="44">
        <v>52447.355533251473</v>
      </c>
      <c r="C26" s="44">
        <v>56315.225671732078</v>
      </c>
      <c r="D26" s="44">
        <v>58934.315041522263</v>
      </c>
      <c r="E26" s="44">
        <v>60113.434798136906</v>
      </c>
      <c r="F26" s="44">
        <v>60543.544044019043</v>
      </c>
      <c r="G26" s="48">
        <v>51117</v>
      </c>
      <c r="H26" s="48">
        <v>55167</v>
      </c>
      <c r="I26" s="48">
        <v>62344</v>
      </c>
      <c r="J26" s="48">
        <v>66713</v>
      </c>
      <c r="K26" s="48">
        <v>70408</v>
      </c>
      <c r="L26" s="263"/>
      <c r="N26" s="281"/>
      <c r="O26" s="282"/>
    </row>
    <row r="27" spans="1:15">
      <c r="A27" s="39" t="s">
        <v>54</v>
      </c>
      <c r="B27" s="43">
        <v>63926.781953239995</v>
      </c>
      <c r="C27" s="43">
        <v>66358.42268709949</v>
      </c>
      <c r="D27" s="43">
        <v>68862.413120938829</v>
      </c>
      <c r="E27" s="43">
        <v>69219.571350691447</v>
      </c>
      <c r="F27" s="43">
        <v>68941.581393494766</v>
      </c>
      <c r="G27" s="47">
        <v>61044</v>
      </c>
      <c r="H27" s="47">
        <v>63795</v>
      </c>
      <c r="I27" s="47">
        <v>67013</v>
      </c>
      <c r="J27" s="47">
        <v>87752</v>
      </c>
      <c r="K27" s="47">
        <v>89373</v>
      </c>
      <c r="L27" s="263"/>
      <c r="N27" s="281"/>
      <c r="O27" s="282"/>
    </row>
    <row r="28" spans="1:15">
      <c r="A28" s="39" t="s">
        <v>55</v>
      </c>
      <c r="B28" s="43">
        <v>41683.444937994085</v>
      </c>
      <c r="C28" s="43">
        <v>44353.499926131582</v>
      </c>
      <c r="D28" s="43">
        <v>46349.599011887585</v>
      </c>
      <c r="E28" s="43">
        <v>45697.984831375405</v>
      </c>
      <c r="F28" s="43">
        <v>45969.723786095674</v>
      </c>
      <c r="G28" s="47">
        <v>42966</v>
      </c>
      <c r="H28" s="47">
        <v>46478</v>
      </c>
      <c r="I28" s="47">
        <v>49941</v>
      </c>
      <c r="J28" s="47">
        <v>59386</v>
      </c>
      <c r="K28" s="47">
        <v>66138</v>
      </c>
      <c r="L28" s="263"/>
      <c r="N28" s="281"/>
      <c r="O28" s="282"/>
    </row>
    <row r="29" spans="1:15">
      <c r="A29" s="39" t="s">
        <v>56</v>
      </c>
      <c r="B29" s="43">
        <v>6768.0814185096779</v>
      </c>
      <c r="C29" s="43">
        <v>7437.0633237378606</v>
      </c>
      <c r="D29" s="43">
        <v>7816.9776340440731</v>
      </c>
      <c r="E29" s="43">
        <v>8361.9947972552</v>
      </c>
      <c r="F29" s="43">
        <v>8415.8765916505708</v>
      </c>
      <c r="G29" s="47">
        <v>14511</v>
      </c>
      <c r="H29" s="47">
        <v>15824</v>
      </c>
      <c r="I29" s="47">
        <v>16500</v>
      </c>
      <c r="J29" s="47">
        <v>22859</v>
      </c>
      <c r="K29" s="47">
        <v>24242</v>
      </c>
      <c r="L29" s="263"/>
      <c r="N29" s="281"/>
      <c r="O29" s="282"/>
    </row>
    <row r="30" spans="1:15">
      <c r="A30" s="40" t="s">
        <v>57</v>
      </c>
      <c r="B30" s="44">
        <v>44230.933165672097</v>
      </c>
      <c r="C30" s="44">
        <v>47480.814660495336</v>
      </c>
      <c r="D30" s="44">
        <v>49466.232268157175</v>
      </c>
      <c r="E30" s="44">
        <v>50466.638814047139</v>
      </c>
      <c r="F30" s="44">
        <v>50652.390637542485</v>
      </c>
      <c r="G30" s="48">
        <v>47486</v>
      </c>
      <c r="H30" s="48">
        <v>52185</v>
      </c>
      <c r="I30" s="48">
        <v>53379</v>
      </c>
      <c r="J30" s="48">
        <v>63805</v>
      </c>
      <c r="K30" s="48">
        <v>67419</v>
      </c>
      <c r="L30" s="263"/>
      <c r="N30" s="281"/>
      <c r="O30" s="282"/>
    </row>
    <row r="31" spans="1:15">
      <c r="A31" s="39" t="s">
        <v>58</v>
      </c>
      <c r="B31" s="43">
        <v>108485.36541662451</v>
      </c>
      <c r="C31" s="43">
        <v>115400.48948731904</v>
      </c>
      <c r="D31" s="43">
        <v>120209.94047723887</v>
      </c>
      <c r="E31" s="43">
        <v>122325.77026988899</v>
      </c>
      <c r="F31" s="43">
        <v>122917.4496760726</v>
      </c>
      <c r="G31" s="47">
        <v>99761</v>
      </c>
      <c r="H31" s="47">
        <v>108833</v>
      </c>
      <c r="I31" s="47">
        <v>119549</v>
      </c>
      <c r="J31" s="47">
        <v>129002</v>
      </c>
      <c r="K31" s="47">
        <v>149047</v>
      </c>
      <c r="L31" s="263"/>
      <c r="N31" s="281"/>
      <c r="O31" s="283"/>
    </row>
    <row r="32" spans="1:15">
      <c r="A32" s="39" t="s">
        <v>59</v>
      </c>
      <c r="B32" s="43">
        <v>30654.860338782695</v>
      </c>
      <c r="C32" s="43">
        <v>31812.272784180252</v>
      </c>
      <c r="D32" s="43">
        <v>33157.513651853325</v>
      </c>
      <c r="E32" s="43">
        <v>33787.025170117799</v>
      </c>
      <c r="F32" s="43">
        <v>33934.468631511772</v>
      </c>
      <c r="G32" s="47">
        <v>30894</v>
      </c>
      <c r="H32" s="47">
        <v>34239</v>
      </c>
      <c r="I32" s="47">
        <v>38643</v>
      </c>
      <c r="J32" s="47">
        <v>39255</v>
      </c>
      <c r="K32" s="47">
        <v>42962</v>
      </c>
      <c r="L32" s="263"/>
      <c r="N32" s="281"/>
      <c r="O32" s="283"/>
    </row>
    <row r="33" spans="1:15">
      <c r="A33" s="39" t="s">
        <v>60</v>
      </c>
      <c r="B33" s="43">
        <v>36889.973741984795</v>
      </c>
      <c r="C33" s="43">
        <v>38872.484307851861</v>
      </c>
      <c r="D33" s="43">
        <v>39909.373546854629</v>
      </c>
      <c r="E33" s="43">
        <v>41580.962960787823</v>
      </c>
      <c r="F33" s="43">
        <v>41161.661176530477</v>
      </c>
      <c r="G33" s="47">
        <v>38426</v>
      </c>
      <c r="H33" s="47">
        <v>41588</v>
      </c>
      <c r="I33" s="47">
        <v>42460</v>
      </c>
      <c r="J33" s="47">
        <v>45911</v>
      </c>
      <c r="K33" s="47">
        <v>56371</v>
      </c>
      <c r="L33" s="263"/>
      <c r="N33" s="281"/>
      <c r="O33" s="283"/>
    </row>
    <row r="34" spans="1:15">
      <c r="A34" s="39" t="s">
        <v>61</v>
      </c>
      <c r="B34" s="43">
        <v>48617.287350610088</v>
      </c>
      <c r="C34" s="43">
        <v>52338.709770731293</v>
      </c>
      <c r="D34" s="43">
        <v>54425.798935830891</v>
      </c>
      <c r="E34" s="43">
        <v>55776.949715226925</v>
      </c>
      <c r="F34" s="43">
        <v>56222.793871115857</v>
      </c>
      <c r="G34" s="47">
        <v>48552</v>
      </c>
      <c r="H34" s="47">
        <v>52916</v>
      </c>
      <c r="I34" s="47">
        <v>56780</v>
      </c>
      <c r="J34" s="47">
        <v>63796</v>
      </c>
      <c r="K34" s="47">
        <v>70489</v>
      </c>
      <c r="L34" s="263"/>
      <c r="N34" s="281"/>
      <c r="O34" s="282"/>
    </row>
    <row r="35" spans="1:15" ht="13.5" thickBot="1">
      <c r="A35" s="41" t="s">
        <v>5</v>
      </c>
      <c r="B35" s="45">
        <v>1893012</v>
      </c>
      <c r="C35" s="45">
        <v>2007868</v>
      </c>
      <c r="D35" s="45">
        <v>2084962</v>
      </c>
      <c r="E35" s="45">
        <v>2119962</v>
      </c>
      <c r="F35" s="45">
        <v>2119962</v>
      </c>
      <c r="G35" s="49">
        <f>SUM(G3:G34)</f>
        <v>1982905</v>
      </c>
      <c r="H35" s="49">
        <f>SUM(H3:H34)</f>
        <v>2118195</v>
      </c>
      <c r="I35" s="49">
        <f>SUM(I3:I34)</f>
        <v>2275645</v>
      </c>
      <c r="J35" s="49">
        <f>SUM(J3:J34)</f>
        <v>2577957</v>
      </c>
      <c r="K35" s="49">
        <f>SUM(K3:K34)</f>
        <v>2776441</v>
      </c>
    </row>
    <row r="38" spans="1:15">
      <c r="A38" s="25"/>
      <c r="B38" s="25"/>
      <c r="E38" s="25"/>
      <c r="F38" s="25"/>
      <c r="G38" s="25"/>
      <c r="J38" s="25"/>
      <c r="K38" s="25"/>
    </row>
    <row r="39" spans="1:15">
      <c r="A39" s="25"/>
      <c r="B39" s="25"/>
      <c r="E39" s="25"/>
      <c r="F39" s="25"/>
      <c r="G39" s="25"/>
      <c r="J39" s="25"/>
      <c r="K39" s="25"/>
    </row>
    <row r="40" spans="1:15">
      <c r="A40" s="25"/>
      <c r="B40" s="25"/>
      <c r="E40" s="25"/>
      <c r="F40" s="25"/>
      <c r="G40" s="25"/>
      <c r="J40" s="25"/>
      <c r="K40" s="25"/>
    </row>
    <row r="41" spans="1:15">
      <c r="A41" s="25"/>
      <c r="B41" s="25"/>
      <c r="E41" s="25"/>
      <c r="F41" s="25"/>
      <c r="G41" s="25"/>
      <c r="J41" s="25"/>
      <c r="K41" s="25"/>
    </row>
    <row r="42" spans="1:15">
      <c r="A42" s="25"/>
      <c r="B42" s="25"/>
      <c r="E42" s="25"/>
      <c r="F42" s="25"/>
      <c r="G42" s="25"/>
      <c r="J42" s="25"/>
      <c r="K42" s="25"/>
    </row>
    <row r="43" spans="1:15">
      <c r="A43" s="25"/>
      <c r="B43" s="25"/>
      <c r="E43" s="25"/>
      <c r="F43" s="25"/>
      <c r="G43" s="25"/>
      <c r="J43" s="25"/>
      <c r="K43" s="25"/>
    </row>
    <row r="44" spans="1:15">
      <c r="A44" s="25"/>
      <c r="B44" s="25"/>
      <c r="E44" s="25"/>
      <c r="F44" s="25"/>
      <c r="G44" s="25"/>
      <c r="J44" s="25"/>
      <c r="K44" s="25"/>
    </row>
    <row r="45" spans="1:15">
      <c r="A45" s="25"/>
      <c r="B45" s="25"/>
      <c r="E45" s="25"/>
      <c r="F45" s="25"/>
      <c r="G45" s="25"/>
      <c r="J45" s="25"/>
      <c r="K45" s="25"/>
    </row>
    <row r="46" spans="1:15" ht="18">
      <c r="A46" s="26" t="s">
        <v>72</v>
      </c>
      <c r="B46" s="25"/>
      <c r="C46" s="36"/>
      <c r="D46" s="36"/>
      <c r="E46" s="25"/>
      <c r="F46" s="25"/>
      <c r="G46" s="25"/>
      <c r="H46" s="36"/>
      <c r="I46" s="36"/>
      <c r="J46" s="25"/>
      <c r="K46" s="25"/>
    </row>
    <row r="47" spans="1:15">
      <c r="A47" s="25"/>
      <c r="B47" s="25"/>
      <c r="C47" s="36"/>
      <c r="D47" s="36"/>
      <c r="E47" s="25"/>
      <c r="F47" s="25"/>
      <c r="G47" s="25"/>
      <c r="H47" s="36"/>
      <c r="I47" s="36"/>
      <c r="J47" s="25"/>
      <c r="K47" s="25"/>
    </row>
    <row r="48" spans="1:15" ht="13.5" thickBot="1">
      <c r="A48" s="25"/>
      <c r="B48" s="32"/>
      <c r="C48" s="37"/>
      <c r="D48" s="37"/>
      <c r="E48" s="32"/>
      <c r="F48" s="32"/>
      <c r="G48" s="32"/>
      <c r="H48" s="37"/>
      <c r="I48" s="37"/>
      <c r="J48" s="32"/>
      <c r="K48" s="32"/>
    </row>
    <row r="49" spans="1:11" ht="15.75" thickBot="1">
      <c r="A49" s="27"/>
      <c r="B49" s="740" t="s">
        <v>66</v>
      </c>
      <c r="C49" s="741"/>
      <c r="D49" s="741"/>
      <c r="E49" s="741"/>
      <c r="F49" s="742"/>
      <c r="G49" s="740" t="s">
        <v>73</v>
      </c>
      <c r="H49" s="741"/>
      <c r="I49" s="741"/>
      <c r="J49" s="741"/>
      <c r="K49" s="742"/>
    </row>
    <row r="50" spans="1:11" ht="15.75" thickBot="1">
      <c r="A50" s="28" t="s">
        <v>26</v>
      </c>
      <c r="B50" s="51" t="s">
        <v>4</v>
      </c>
      <c r="C50" s="51" t="s">
        <v>0</v>
      </c>
      <c r="D50" s="51" t="s">
        <v>1</v>
      </c>
      <c r="E50" s="51" t="s">
        <v>28</v>
      </c>
      <c r="F50" s="51" t="s">
        <v>65</v>
      </c>
      <c r="G50" s="51" t="s">
        <v>4</v>
      </c>
      <c r="H50" s="51" t="s">
        <v>0</v>
      </c>
      <c r="I50" s="51" t="s">
        <v>1</v>
      </c>
      <c r="J50" s="51" t="s">
        <v>28</v>
      </c>
      <c r="K50" s="51" t="s">
        <v>65</v>
      </c>
    </row>
    <row r="51" spans="1:11">
      <c r="A51" s="29" t="s">
        <v>31</v>
      </c>
      <c r="B51" s="33">
        <f t="shared" ref="B51:K51" si="0">B3/B$35</f>
        <v>4.1108892081041175E-2</v>
      </c>
      <c r="C51" s="33">
        <f t="shared" si="0"/>
        <v>4.0062703126133949E-2</v>
      </c>
      <c r="D51" s="33">
        <f t="shared" si="0"/>
        <v>4.0273469946643707E-2</v>
      </c>
      <c r="E51" s="33">
        <f t="shared" si="0"/>
        <v>3.9121671186907375E-2</v>
      </c>
      <c r="F51" s="33">
        <f t="shared" si="0"/>
        <v>3.8982983859039297E-2</v>
      </c>
      <c r="G51" s="33">
        <f t="shared" si="0"/>
        <v>4.7203975984729474E-2</v>
      </c>
      <c r="H51" s="33">
        <f t="shared" si="0"/>
        <v>4.6847905882130773E-2</v>
      </c>
      <c r="I51" s="33">
        <f t="shared" si="0"/>
        <v>4.5045250906885742E-2</v>
      </c>
      <c r="J51" s="33">
        <f t="shared" si="0"/>
        <v>3.8740754791487989E-2</v>
      </c>
      <c r="K51" s="33">
        <f t="shared" si="0"/>
        <v>4.0372909058755437E-2</v>
      </c>
    </row>
    <row r="52" spans="1:11">
      <c r="A52" s="29" t="s">
        <v>32</v>
      </c>
      <c r="B52" s="33">
        <f t="shared" ref="B52:F82" si="1">B4/B$35</f>
        <v>3.7202578392600223E-2</v>
      </c>
      <c r="C52" s="33">
        <f t="shared" si="1"/>
        <v>3.7930744785818926E-2</v>
      </c>
      <c r="D52" s="33">
        <f t="shared" si="1"/>
        <v>3.8291993323936721E-2</v>
      </c>
      <c r="E52" s="33">
        <f t="shared" si="1"/>
        <v>3.8403500227175563E-2</v>
      </c>
      <c r="F52" s="33">
        <f t="shared" si="1"/>
        <v>3.8769104671229813E-2</v>
      </c>
      <c r="G52" s="33">
        <f t="shared" ref="G52:K61" si="2">G4/G$35</f>
        <v>3.8821829588406909E-2</v>
      </c>
      <c r="H52" s="33">
        <f t="shared" si="2"/>
        <v>3.9364175630666673E-2</v>
      </c>
      <c r="I52" s="33">
        <f t="shared" si="2"/>
        <v>4.1517899320851891E-2</v>
      </c>
      <c r="J52" s="33">
        <f t="shared" si="2"/>
        <v>4.2099616091346749E-2</v>
      </c>
      <c r="K52" s="33">
        <f t="shared" si="2"/>
        <v>4.4026507316380935E-2</v>
      </c>
    </row>
    <row r="53" spans="1:11">
      <c r="A53" s="29" t="s">
        <v>33</v>
      </c>
      <c r="B53" s="33">
        <f t="shared" si="1"/>
        <v>2.3082778776949104E-2</v>
      </c>
      <c r="C53" s="33">
        <f t="shared" si="1"/>
        <v>2.3063652609851423E-2</v>
      </c>
      <c r="D53" s="33">
        <f t="shared" si="1"/>
        <v>2.3201570337259798E-2</v>
      </c>
      <c r="E53" s="33">
        <f t="shared" si="1"/>
        <v>2.2156210190385307E-2</v>
      </c>
      <c r="F53" s="33">
        <f t="shared" si="1"/>
        <v>2.2255808674636245E-2</v>
      </c>
      <c r="G53" s="33">
        <f t="shared" si="2"/>
        <v>2.1873463428656439E-2</v>
      </c>
      <c r="H53" s="33">
        <f t="shared" si="2"/>
        <v>2.1773727159208667E-2</v>
      </c>
      <c r="I53" s="33">
        <f t="shared" si="2"/>
        <v>2.1193551718304043E-2</v>
      </c>
      <c r="J53" s="33">
        <f t="shared" si="2"/>
        <v>2.2346765287396181E-2</v>
      </c>
      <c r="K53" s="33">
        <f t="shared" si="2"/>
        <v>2.177283796054013E-2</v>
      </c>
    </row>
    <row r="54" spans="1:11">
      <c r="A54" s="30" t="s">
        <v>34</v>
      </c>
      <c r="B54" s="33">
        <f t="shared" si="1"/>
        <v>1.8834359999990894E-2</v>
      </c>
      <c r="C54" s="33">
        <f t="shared" si="1"/>
        <v>1.9288659207386594E-2</v>
      </c>
      <c r="D54" s="33">
        <f t="shared" si="1"/>
        <v>1.9351648608546698E-2</v>
      </c>
      <c r="E54" s="33">
        <f t="shared" si="1"/>
        <v>1.8818042895749381E-2</v>
      </c>
      <c r="F54" s="33">
        <f t="shared" si="1"/>
        <v>1.8815144315582996E-2</v>
      </c>
      <c r="G54" s="33">
        <f t="shared" si="2"/>
        <v>1.7075956740237177E-2</v>
      </c>
      <c r="H54" s="33">
        <f t="shared" si="2"/>
        <v>1.8364220480172978E-2</v>
      </c>
      <c r="I54" s="33">
        <f t="shared" si="2"/>
        <v>1.7747935200789228E-2</v>
      </c>
      <c r="J54" s="33">
        <f t="shared" si="2"/>
        <v>1.6952959261927178E-2</v>
      </c>
      <c r="K54" s="33">
        <f t="shared" si="2"/>
        <v>1.7537559775266248E-2</v>
      </c>
    </row>
    <row r="55" spans="1:11">
      <c r="A55" s="29" t="s">
        <v>35</v>
      </c>
      <c r="B55" s="33">
        <f t="shared" si="1"/>
        <v>8.7467795106798592E-3</v>
      </c>
      <c r="C55" s="33">
        <f t="shared" si="1"/>
        <v>8.9985227786426696E-3</v>
      </c>
      <c r="D55" s="33">
        <f t="shared" si="1"/>
        <v>9.079320551045102E-3</v>
      </c>
      <c r="E55" s="33">
        <f t="shared" si="1"/>
        <v>9.2694710650359433E-3</v>
      </c>
      <c r="F55" s="33">
        <f t="shared" si="1"/>
        <v>9.3667470440628522E-3</v>
      </c>
      <c r="G55" s="33">
        <f t="shared" si="2"/>
        <v>8.6590129128727798E-3</v>
      </c>
      <c r="H55" s="33">
        <f t="shared" si="2"/>
        <v>8.7305465266417862E-3</v>
      </c>
      <c r="I55" s="33">
        <f t="shared" si="2"/>
        <v>8.4318951330282187E-3</v>
      </c>
      <c r="J55" s="33">
        <f t="shared" si="2"/>
        <v>8.4303190472145191E-3</v>
      </c>
      <c r="K55" s="33">
        <f t="shared" si="2"/>
        <v>9.1905428568444282E-3</v>
      </c>
    </row>
    <row r="56" spans="1:11">
      <c r="A56" s="29" t="s">
        <v>36</v>
      </c>
      <c r="B56" s="33">
        <f t="shared" si="1"/>
        <v>2.9726031814717516E-2</v>
      </c>
      <c r="C56" s="33">
        <f t="shared" si="1"/>
        <v>3.0561854820521595E-2</v>
      </c>
      <c r="D56" s="33">
        <f t="shared" si="1"/>
        <v>3.0892437930932388E-2</v>
      </c>
      <c r="E56" s="33">
        <f t="shared" si="1"/>
        <v>3.0698516336111342E-2</v>
      </c>
      <c r="F56" s="33">
        <f t="shared" si="1"/>
        <v>3.0934055292443398E-2</v>
      </c>
      <c r="G56" s="33">
        <f t="shared" si="2"/>
        <v>2.9393238707855394E-2</v>
      </c>
      <c r="H56" s="33">
        <f t="shared" si="2"/>
        <v>2.9802732987283986E-2</v>
      </c>
      <c r="I56" s="33">
        <f t="shared" si="2"/>
        <v>3.0750842068951879E-2</v>
      </c>
      <c r="J56" s="33">
        <f t="shared" si="2"/>
        <v>2.8936867449689811E-2</v>
      </c>
      <c r="K56" s="33">
        <f t="shared" si="2"/>
        <v>2.8952893290367057E-2</v>
      </c>
    </row>
    <row r="57" spans="1:11">
      <c r="A57" s="29" t="s">
        <v>37</v>
      </c>
      <c r="B57" s="33">
        <f t="shared" si="1"/>
        <v>3.3248684009154081E-2</v>
      </c>
      <c r="C57" s="33">
        <f t="shared" si="1"/>
        <v>3.248853549896992E-2</v>
      </c>
      <c r="D57" s="33">
        <f t="shared" si="1"/>
        <v>3.2414599882200301E-2</v>
      </c>
      <c r="E57" s="33">
        <f t="shared" si="1"/>
        <v>3.1992112757307921E-2</v>
      </c>
      <c r="F57" s="33">
        <f t="shared" si="1"/>
        <v>3.1760907366094382E-2</v>
      </c>
      <c r="G57" s="33">
        <f t="shared" si="2"/>
        <v>3.3025283611670758E-2</v>
      </c>
      <c r="H57" s="33">
        <f t="shared" si="2"/>
        <v>3.2454046959793599E-2</v>
      </c>
      <c r="I57" s="33">
        <f t="shared" si="2"/>
        <v>3.2306005550074811E-2</v>
      </c>
      <c r="J57" s="33">
        <f t="shared" si="2"/>
        <v>3.1019524375309596E-2</v>
      </c>
      <c r="K57" s="33">
        <f t="shared" si="2"/>
        <v>3.0778972072520179E-2</v>
      </c>
    </row>
    <row r="58" spans="1:11">
      <c r="A58" s="30" t="s">
        <v>38</v>
      </c>
      <c r="B58" s="33">
        <f t="shared" si="1"/>
        <v>2.4769547301112724E-2</v>
      </c>
      <c r="C58" s="33">
        <f t="shared" si="1"/>
        <v>2.4528050811303465E-2</v>
      </c>
      <c r="D58" s="33">
        <f t="shared" si="1"/>
        <v>2.4504581136723606E-2</v>
      </c>
      <c r="E58" s="33">
        <f t="shared" si="1"/>
        <v>2.3826933277307446E-2</v>
      </c>
      <c r="F58" s="33">
        <f t="shared" si="1"/>
        <v>2.3788032223929865E-2</v>
      </c>
      <c r="G58" s="33">
        <f t="shared" si="2"/>
        <v>2.1188105330310833E-2</v>
      </c>
      <c r="H58" s="33">
        <f t="shared" si="2"/>
        <v>2.2175956415721877E-2</v>
      </c>
      <c r="I58" s="33">
        <f t="shared" si="2"/>
        <v>2.2514495890176192E-2</v>
      </c>
      <c r="J58" s="33">
        <f t="shared" si="2"/>
        <v>2.1295157366860658E-2</v>
      </c>
      <c r="K58" s="33">
        <f t="shared" si="2"/>
        <v>2.1909343652539347E-2</v>
      </c>
    </row>
    <row r="59" spans="1:11">
      <c r="A59" s="29" t="s">
        <v>39</v>
      </c>
      <c r="B59" s="33">
        <f t="shared" si="1"/>
        <v>1.6759457906985794E-2</v>
      </c>
      <c r="C59" s="33">
        <f t="shared" si="1"/>
        <v>1.6697191900659075E-2</v>
      </c>
      <c r="D59" s="33">
        <f t="shared" si="1"/>
        <v>1.6811001125149518E-2</v>
      </c>
      <c r="E59" s="33">
        <f t="shared" si="1"/>
        <v>1.7035308633344785E-2</v>
      </c>
      <c r="F59" s="33">
        <f t="shared" si="1"/>
        <v>1.7175789279030441E-2</v>
      </c>
      <c r="G59" s="33">
        <f t="shared" si="2"/>
        <v>1.5614968947075125E-2</v>
      </c>
      <c r="H59" s="33">
        <f t="shared" si="2"/>
        <v>1.55202896806007E-2</v>
      </c>
      <c r="I59" s="33">
        <f t="shared" si="2"/>
        <v>1.5122745419430535E-2</v>
      </c>
      <c r="J59" s="33">
        <f t="shared" si="2"/>
        <v>1.4389301295560788E-2</v>
      </c>
      <c r="K59" s="33">
        <f t="shared" si="2"/>
        <v>1.6397971359737161E-2</v>
      </c>
    </row>
    <row r="60" spans="1:11">
      <c r="A60" s="29" t="s">
        <v>40</v>
      </c>
      <c r="B60" s="33">
        <f t="shared" si="1"/>
        <v>1.7789625415100395E-2</v>
      </c>
      <c r="C60" s="33">
        <f t="shared" si="1"/>
        <v>1.784022476769689E-2</v>
      </c>
      <c r="D60" s="33">
        <f t="shared" si="1"/>
        <v>1.7959249610964508E-2</v>
      </c>
      <c r="E60" s="33">
        <f t="shared" si="1"/>
        <v>1.7737715351347844E-2</v>
      </c>
      <c r="F60" s="33">
        <f t="shared" si="1"/>
        <v>1.7834333581831178E-2</v>
      </c>
      <c r="G60" s="33">
        <f t="shared" si="2"/>
        <v>1.7412331906974866E-2</v>
      </c>
      <c r="H60" s="33">
        <f t="shared" si="2"/>
        <v>1.8259886365514035E-2</v>
      </c>
      <c r="I60" s="33">
        <f t="shared" si="2"/>
        <v>1.7656971979372882E-2</v>
      </c>
      <c r="J60" s="33">
        <f t="shared" si="2"/>
        <v>1.9296287719306412E-2</v>
      </c>
      <c r="K60" s="33">
        <f t="shared" si="2"/>
        <v>2.0359517814352978E-2</v>
      </c>
    </row>
    <row r="61" spans="1:11">
      <c r="A61" s="29" t="s">
        <v>41</v>
      </c>
      <c r="B61" s="33">
        <f t="shared" si="1"/>
        <v>1.4872009615061167E-2</v>
      </c>
      <c r="C61" s="33">
        <f t="shared" si="1"/>
        <v>1.5190043856221318E-2</v>
      </c>
      <c r="D61" s="33">
        <f t="shared" si="1"/>
        <v>1.5322629325843655E-2</v>
      </c>
      <c r="E61" s="33">
        <f t="shared" si="1"/>
        <v>1.5107573765531788E-2</v>
      </c>
      <c r="F61" s="33">
        <f t="shared" si="1"/>
        <v>1.528026344419714E-2</v>
      </c>
      <c r="G61" s="33">
        <f t="shared" si="2"/>
        <v>1.4073795769338419E-2</v>
      </c>
      <c r="H61" s="33">
        <f t="shared" si="2"/>
        <v>1.4282443306683285E-2</v>
      </c>
      <c r="I61" s="33">
        <f t="shared" si="2"/>
        <v>1.3858488472499006E-2</v>
      </c>
      <c r="J61" s="33">
        <f t="shared" si="2"/>
        <v>1.518062558840198E-2</v>
      </c>
      <c r="K61" s="33">
        <f t="shared" si="2"/>
        <v>1.3790316451889308E-2</v>
      </c>
    </row>
    <row r="62" spans="1:11">
      <c r="A62" s="30" t="s">
        <v>140</v>
      </c>
      <c r="B62" s="33">
        <f t="shared" si="1"/>
        <v>8.7845998846102905E-2</v>
      </c>
      <c r="C62" s="33">
        <f t="shared" si="1"/>
        <v>8.5337706778435884E-2</v>
      </c>
      <c r="D62" s="33">
        <f t="shared" si="1"/>
        <v>8.5030722755982557E-2</v>
      </c>
      <c r="E62" s="33">
        <f t="shared" si="1"/>
        <v>8.775994407841281E-2</v>
      </c>
      <c r="F62" s="33">
        <f t="shared" si="1"/>
        <v>8.7778779790236072E-2</v>
      </c>
      <c r="G62" s="33">
        <f t="shared" ref="G62:K71" si="3">G14/G$35</f>
        <v>9.5677301736593529E-2</v>
      </c>
      <c r="H62" s="33">
        <f t="shared" si="3"/>
        <v>9.1772003993966567E-2</v>
      </c>
      <c r="I62" s="33">
        <f t="shared" si="3"/>
        <v>9.1096809915430565E-2</v>
      </c>
      <c r="J62" s="33">
        <f t="shared" si="3"/>
        <v>9.0750543938475314E-2</v>
      </c>
      <c r="K62" s="33">
        <f t="shared" si="3"/>
        <v>9.0741348366487895E-2</v>
      </c>
    </row>
    <row r="63" spans="1:11">
      <c r="A63" s="29" t="s">
        <v>42</v>
      </c>
      <c r="B63" s="33">
        <f t="shared" si="1"/>
        <v>5.4619627836014224E-3</v>
      </c>
      <c r="C63" s="33">
        <f t="shared" si="1"/>
        <v>5.46078032183834E-3</v>
      </c>
      <c r="D63" s="33">
        <f t="shared" si="1"/>
        <v>5.4266899641143996E-3</v>
      </c>
      <c r="E63" s="33">
        <f t="shared" si="1"/>
        <v>5.530938490774899E-3</v>
      </c>
      <c r="F63" s="33">
        <f t="shared" si="1"/>
        <v>5.5219048026768341E-3</v>
      </c>
      <c r="G63" s="33">
        <f t="shared" si="3"/>
        <v>7.3609174418340769E-3</v>
      </c>
      <c r="H63" s="33">
        <f t="shared" si="3"/>
        <v>7.845358902272925E-3</v>
      </c>
      <c r="I63" s="33">
        <f t="shared" si="3"/>
        <v>7.4458010805727604E-3</v>
      </c>
      <c r="J63" s="33">
        <f t="shared" si="3"/>
        <v>7.2530302095806876E-3</v>
      </c>
      <c r="K63" s="33">
        <f t="shared" si="3"/>
        <v>7.7801040972957829E-3</v>
      </c>
    </row>
    <row r="64" spans="1:11">
      <c r="A64" s="29" t="s">
        <v>43</v>
      </c>
      <c r="B64" s="33">
        <f t="shared" si="1"/>
        <v>2.7763600822763666E-2</v>
      </c>
      <c r="C64" s="33">
        <f t="shared" si="1"/>
        <v>2.7123286709953159E-2</v>
      </c>
      <c r="D64" s="33">
        <f t="shared" si="1"/>
        <v>2.7176109815561792E-2</v>
      </c>
      <c r="E64" s="33">
        <f t="shared" si="1"/>
        <v>2.7549184273398506E-2</v>
      </c>
      <c r="F64" s="33">
        <f t="shared" si="1"/>
        <v>2.7575709402977655E-2</v>
      </c>
      <c r="G64" s="33">
        <f t="shared" si="3"/>
        <v>2.7440548084754438E-2</v>
      </c>
      <c r="H64" s="33">
        <f t="shared" si="3"/>
        <v>2.7511631365384207E-2</v>
      </c>
      <c r="I64" s="33">
        <f t="shared" si="3"/>
        <v>2.7335986061094768E-2</v>
      </c>
      <c r="J64" s="33">
        <f t="shared" si="3"/>
        <v>2.6372821579258306E-2</v>
      </c>
      <c r="K64" s="33">
        <f t="shared" si="3"/>
        <v>2.6089875491681618E-2</v>
      </c>
    </row>
    <row r="65" spans="1:11">
      <c r="A65" s="29" t="s">
        <v>44</v>
      </c>
      <c r="B65" s="33">
        <f t="shared" si="1"/>
        <v>6.7856760233943075E-2</v>
      </c>
      <c r="C65" s="33">
        <f t="shared" si="1"/>
        <v>6.7613639700146957E-2</v>
      </c>
      <c r="D65" s="33">
        <f t="shared" si="1"/>
        <v>6.7787145990600733E-2</v>
      </c>
      <c r="E65" s="33">
        <f t="shared" si="1"/>
        <v>6.9572019508614732E-2</v>
      </c>
      <c r="F65" s="33">
        <f t="shared" si="1"/>
        <v>6.9822855311591395E-2</v>
      </c>
      <c r="G65" s="33">
        <f t="shared" si="3"/>
        <v>6.2083660084572889E-2</v>
      </c>
      <c r="H65" s="33">
        <f t="shared" si="3"/>
        <v>6.2557035589263496E-2</v>
      </c>
      <c r="I65" s="33">
        <f t="shared" si="3"/>
        <v>6.5236010010348719E-2</v>
      </c>
      <c r="J65" s="33">
        <f t="shared" si="3"/>
        <v>6.7932087307895364E-2</v>
      </c>
      <c r="K65" s="33">
        <f t="shared" si="3"/>
        <v>6.7061752797916471E-2</v>
      </c>
    </row>
    <row r="66" spans="1:11">
      <c r="A66" s="30" t="s">
        <v>45</v>
      </c>
      <c r="B66" s="33">
        <f t="shared" si="1"/>
        <v>0.13696537191553418</v>
      </c>
      <c r="C66" s="33">
        <f t="shared" si="1"/>
        <v>0.13696444425262852</v>
      </c>
      <c r="D66" s="33">
        <f t="shared" si="1"/>
        <v>0.13507311937304778</v>
      </c>
      <c r="E66" s="33">
        <f t="shared" si="1"/>
        <v>0.13467501816919059</v>
      </c>
      <c r="F66" s="33">
        <f t="shared" si="1"/>
        <v>0.13282445383082889</v>
      </c>
      <c r="G66" s="33">
        <f t="shared" si="3"/>
        <v>0.14936318179640476</v>
      </c>
      <c r="H66" s="33">
        <f t="shared" si="3"/>
        <v>0.14332863593767334</v>
      </c>
      <c r="I66" s="33">
        <f t="shared" si="3"/>
        <v>0.14132169121282098</v>
      </c>
      <c r="J66" s="33">
        <f t="shared" si="3"/>
        <v>0.13841774707646404</v>
      </c>
      <c r="K66" s="33">
        <f t="shared" si="3"/>
        <v>0.13293997603406663</v>
      </c>
    </row>
    <row r="67" spans="1:11">
      <c r="A67" s="29" t="s">
        <v>46</v>
      </c>
      <c r="B67" s="33">
        <f t="shared" si="1"/>
        <v>3.9868837461770702E-2</v>
      </c>
      <c r="C67" s="33">
        <f t="shared" si="1"/>
        <v>4.0416118367508282E-2</v>
      </c>
      <c r="D67" s="33">
        <f t="shared" si="1"/>
        <v>4.0544732394345612E-2</v>
      </c>
      <c r="E67" s="33">
        <f t="shared" si="1"/>
        <v>3.9832856259847574E-2</v>
      </c>
      <c r="F67" s="33">
        <f t="shared" si="1"/>
        <v>4.0071337871155688E-2</v>
      </c>
      <c r="G67" s="33">
        <f t="shared" si="3"/>
        <v>3.9145596990274367E-2</v>
      </c>
      <c r="H67" s="33">
        <f t="shared" si="3"/>
        <v>3.9402887836105738E-2</v>
      </c>
      <c r="I67" s="33">
        <f t="shared" si="3"/>
        <v>3.9142309103572831E-2</v>
      </c>
      <c r="J67" s="33">
        <f t="shared" si="3"/>
        <v>3.8917639045181904E-2</v>
      </c>
      <c r="K67" s="33">
        <f t="shared" si="3"/>
        <v>3.7977036068837768E-2</v>
      </c>
    </row>
    <row r="68" spans="1:11">
      <c r="A68" s="29" t="s">
        <v>47</v>
      </c>
      <c r="B68" s="33">
        <f t="shared" si="1"/>
        <v>1.8498269643694994E-2</v>
      </c>
      <c r="C68" s="33">
        <f t="shared" si="1"/>
        <v>1.8753750098797217E-2</v>
      </c>
      <c r="D68" s="33">
        <f t="shared" si="1"/>
        <v>1.862890236235509E-2</v>
      </c>
      <c r="E68" s="33">
        <f t="shared" si="1"/>
        <v>1.8244508790576233E-2</v>
      </c>
      <c r="F68" s="33">
        <f t="shared" si="1"/>
        <v>1.8040884857897503E-2</v>
      </c>
      <c r="G68" s="33">
        <f t="shared" si="3"/>
        <v>1.7657931166646913E-2</v>
      </c>
      <c r="H68" s="33">
        <f t="shared" si="3"/>
        <v>1.751821716130951E-2</v>
      </c>
      <c r="I68" s="33">
        <f t="shared" si="3"/>
        <v>1.7639394545282766E-2</v>
      </c>
      <c r="J68" s="33">
        <f t="shared" si="3"/>
        <v>1.7203157383928438E-2</v>
      </c>
      <c r="K68" s="33">
        <f t="shared" si="3"/>
        <v>1.8181549688972322E-2</v>
      </c>
    </row>
    <row r="69" spans="1:11">
      <c r="A69" s="29" t="s">
        <v>48</v>
      </c>
      <c r="B69" s="33">
        <f t="shared" si="1"/>
        <v>1.4899267599690484E-2</v>
      </c>
      <c r="C69" s="33">
        <f t="shared" si="1"/>
        <v>1.4929976453953348E-2</v>
      </c>
      <c r="D69" s="33">
        <f t="shared" si="1"/>
        <v>1.5075674000301015E-2</v>
      </c>
      <c r="E69" s="33">
        <f t="shared" si="1"/>
        <v>1.4928946554457293E-2</v>
      </c>
      <c r="F69" s="33">
        <f t="shared" si="1"/>
        <v>1.4925336819148163E-2</v>
      </c>
      <c r="G69" s="33">
        <f t="shared" si="3"/>
        <v>1.5630602575514206E-2</v>
      </c>
      <c r="H69" s="33">
        <f t="shared" si="3"/>
        <v>1.4723384768635561E-2</v>
      </c>
      <c r="I69" s="33">
        <f t="shared" si="3"/>
        <v>1.6119385932340063E-2</v>
      </c>
      <c r="J69" s="33">
        <f t="shared" si="3"/>
        <v>1.69258059773689E-2</v>
      </c>
      <c r="K69" s="33">
        <f t="shared" si="3"/>
        <v>1.5142407132008208E-2</v>
      </c>
    </row>
    <row r="70" spans="1:11">
      <c r="A70" s="30" t="s">
        <v>49</v>
      </c>
      <c r="B70" s="33">
        <f t="shared" si="1"/>
        <v>1.5372854588671735E-2</v>
      </c>
      <c r="C70" s="33">
        <f t="shared" si="1"/>
        <v>1.5295999140147048E-2</v>
      </c>
      <c r="D70" s="33">
        <f t="shared" si="1"/>
        <v>1.5387097681651763E-2</v>
      </c>
      <c r="E70" s="33">
        <f t="shared" si="1"/>
        <v>1.5471653685859631E-2</v>
      </c>
      <c r="F70" s="33">
        <f t="shared" si="1"/>
        <v>1.5551811112924301E-2</v>
      </c>
      <c r="G70" s="33">
        <f t="shared" si="3"/>
        <v>1.5673468976072982E-2</v>
      </c>
      <c r="H70" s="33">
        <f t="shared" si="3"/>
        <v>1.6518309220822446E-2</v>
      </c>
      <c r="I70" s="33">
        <f t="shared" si="3"/>
        <v>1.667790890055347E-2</v>
      </c>
      <c r="J70" s="33">
        <f t="shared" si="3"/>
        <v>1.6316796595133277E-2</v>
      </c>
      <c r="K70" s="33">
        <f t="shared" si="3"/>
        <v>1.6193753081733053E-2</v>
      </c>
    </row>
    <row r="71" spans="1:11">
      <c r="A71" s="29" t="s">
        <v>50</v>
      </c>
      <c r="B71" s="33">
        <f t="shared" si="1"/>
        <v>2.8264499438431217E-2</v>
      </c>
      <c r="C71" s="33">
        <f t="shared" si="1"/>
        <v>2.8613962802270299E-2</v>
      </c>
      <c r="D71" s="33">
        <f t="shared" si="1"/>
        <v>2.8594321965164027E-2</v>
      </c>
      <c r="E71" s="33">
        <f t="shared" si="1"/>
        <v>2.8217915789076963E-2</v>
      </c>
      <c r="F71" s="33">
        <f t="shared" si="1"/>
        <v>2.8186109128068751E-2</v>
      </c>
      <c r="G71" s="33">
        <f t="shared" si="3"/>
        <v>2.5618473905709049E-2</v>
      </c>
      <c r="H71" s="33">
        <f t="shared" si="3"/>
        <v>2.7062192102237991E-2</v>
      </c>
      <c r="I71" s="33">
        <f t="shared" si="3"/>
        <v>2.7653698182273596E-2</v>
      </c>
      <c r="J71" s="33">
        <f t="shared" si="3"/>
        <v>2.7342969646119E-2</v>
      </c>
      <c r="K71" s="33">
        <f t="shared" si="3"/>
        <v>2.7221179920625001E-2</v>
      </c>
    </row>
    <row r="72" spans="1:11">
      <c r="A72" s="29" t="s">
        <v>51</v>
      </c>
      <c r="B72" s="33">
        <f t="shared" si="1"/>
        <v>5.875171552380172E-2</v>
      </c>
      <c r="C72" s="33">
        <f t="shared" si="1"/>
        <v>6.0239872598724778E-2</v>
      </c>
      <c r="D72" s="33">
        <f t="shared" si="1"/>
        <v>6.0065727654383158E-2</v>
      </c>
      <c r="E72" s="33">
        <f t="shared" si="1"/>
        <v>6.064409897806354E-2</v>
      </c>
      <c r="F72" s="33">
        <f t="shared" si="1"/>
        <v>6.064016327726042E-2</v>
      </c>
      <c r="G72" s="33">
        <f t="shared" ref="G72:K81" si="4">G24/G$35</f>
        <v>5.5073742816725967E-2</v>
      </c>
      <c r="H72" s="33">
        <f t="shared" si="4"/>
        <v>5.6288490908532975E-2</v>
      </c>
      <c r="I72" s="33">
        <f t="shared" si="4"/>
        <v>5.6003902190368007E-2</v>
      </c>
      <c r="J72" s="33">
        <f t="shared" si="4"/>
        <v>6.4073993476229427E-2</v>
      </c>
      <c r="K72" s="33">
        <f t="shared" si="4"/>
        <v>6.1029930043534152E-2</v>
      </c>
    </row>
    <row r="73" spans="1:11">
      <c r="A73" s="29" t="s">
        <v>52</v>
      </c>
      <c r="B73" s="33">
        <f t="shared" si="1"/>
        <v>3.202174130876115E-3</v>
      </c>
      <c r="C73" s="33">
        <f t="shared" si="1"/>
        <v>3.3177846340615874E-3</v>
      </c>
      <c r="D73" s="33">
        <f t="shared" si="1"/>
        <v>3.3034671015004691E-3</v>
      </c>
      <c r="E73" s="33">
        <f t="shared" si="1"/>
        <v>3.5289408532370435E-3</v>
      </c>
      <c r="F73" s="33">
        <f t="shared" si="1"/>
        <v>3.5464223693940661E-3</v>
      </c>
      <c r="G73" s="33">
        <f t="shared" si="4"/>
        <v>5.6800502293352434E-3</v>
      </c>
      <c r="H73" s="33">
        <f t="shared" si="4"/>
        <v>5.5249870762606838E-3</v>
      </c>
      <c r="I73" s="33">
        <f t="shared" si="4"/>
        <v>5.5588635309989035E-3</v>
      </c>
      <c r="J73" s="33">
        <f t="shared" si="4"/>
        <v>5.4108738043342069E-3</v>
      </c>
      <c r="K73" s="33">
        <f t="shared" si="4"/>
        <v>5.3197600813415444E-3</v>
      </c>
    </row>
    <row r="74" spans="1:11">
      <c r="A74" s="30" t="s">
        <v>53</v>
      </c>
      <c r="B74" s="33">
        <f t="shared" si="1"/>
        <v>2.7705770239835496E-2</v>
      </c>
      <c r="C74" s="33">
        <f t="shared" si="1"/>
        <v>2.8047274856580252E-2</v>
      </c>
      <c r="D74" s="33">
        <f t="shared" si="1"/>
        <v>2.8266373699627267E-2</v>
      </c>
      <c r="E74" s="33">
        <f t="shared" si="1"/>
        <v>2.8355902038874708E-2</v>
      </c>
      <c r="F74" s="33">
        <f t="shared" si="1"/>
        <v>2.8558787395254748E-2</v>
      </c>
      <c r="G74" s="33">
        <f t="shared" si="4"/>
        <v>2.5778844674858352E-2</v>
      </c>
      <c r="H74" s="33">
        <f t="shared" si="4"/>
        <v>2.6044344359230382E-2</v>
      </c>
      <c r="I74" s="33">
        <f t="shared" si="4"/>
        <v>2.7396188772853412E-2</v>
      </c>
      <c r="J74" s="33">
        <f t="shared" si="4"/>
        <v>2.5878243896232559E-2</v>
      </c>
      <c r="K74" s="33">
        <f t="shared" si="4"/>
        <v>2.5359083805490554E-2</v>
      </c>
    </row>
    <row r="75" spans="1:11">
      <c r="A75" s="29" t="s">
        <v>54</v>
      </c>
      <c r="B75" s="33">
        <f t="shared" si="1"/>
        <v>3.3769876764246608E-2</v>
      </c>
      <c r="C75" s="33">
        <f t="shared" si="1"/>
        <v>3.3049195807244046E-2</v>
      </c>
      <c r="D75" s="33">
        <f t="shared" si="1"/>
        <v>3.3028138220715209E-2</v>
      </c>
      <c r="E75" s="33">
        <f t="shared" si="1"/>
        <v>3.265132646278162E-2</v>
      </c>
      <c r="F75" s="33">
        <f t="shared" si="1"/>
        <v>3.2520196774043483E-2</v>
      </c>
      <c r="G75" s="33">
        <f t="shared" si="4"/>
        <v>3.0785135949528596E-2</v>
      </c>
      <c r="H75" s="33">
        <f t="shared" si="4"/>
        <v>3.0117623731526134E-2</v>
      </c>
      <c r="I75" s="33">
        <f t="shared" si="4"/>
        <v>2.9447914767022097E-2</v>
      </c>
      <c r="J75" s="33">
        <f t="shared" si="4"/>
        <v>3.4039357522255023E-2</v>
      </c>
      <c r="K75" s="33">
        <f t="shared" si="4"/>
        <v>3.2189771005398639E-2</v>
      </c>
    </row>
    <row r="76" spans="1:11">
      <c r="A76" s="29" t="s">
        <v>55</v>
      </c>
      <c r="B76" s="33">
        <f t="shared" si="1"/>
        <v>2.2019641152826334E-2</v>
      </c>
      <c r="C76" s="33">
        <f t="shared" si="1"/>
        <v>2.2089848499070447E-2</v>
      </c>
      <c r="D76" s="33">
        <f t="shared" si="1"/>
        <v>2.2230428665792272E-2</v>
      </c>
      <c r="E76" s="33">
        <f t="shared" si="1"/>
        <v>2.1556039604188851E-2</v>
      </c>
      <c r="F76" s="33">
        <f t="shared" si="1"/>
        <v>2.1684220654000247E-2</v>
      </c>
      <c r="G76" s="33">
        <f t="shared" si="4"/>
        <v>2.1668209016569125E-2</v>
      </c>
      <c r="H76" s="33">
        <f t="shared" si="4"/>
        <v>2.1942266882888497E-2</v>
      </c>
      <c r="I76" s="33">
        <f t="shared" si="4"/>
        <v>2.1945865897360969E-2</v>
      </c>
      <c r="J76" s="33">
        <f t="shared" si="4"/>
        <v>2.3036070811111278E-2</v>
      </c>
      <c r="K76" s="33">
        <f t="shared" si="4"/>
        <v>2.3821143687188021E-2</v>
      </c>
    </row>
    <row r="77" spans="1:11">
      <c r="A77" s="29" t="s">
        <v>56</v>
      </c>
      <c r="B77" s="33">
        <f t="shared" si="1"/>
        <v>3.575297683538022E-3</v>
      </c>
      <c r="C77" s="33">
        <f t="shared" si="1"/>
        <v>3.7039602821190738E-3</v>
      </c>
      <c r="D77" s="33">
        <f t="shared" si="1"/>
        <v>3.7492182754621296E-3</v>
      </c>
      <c r="E77" s="33">
        <f t="shared" si="1"/>
        <v>3.9444078701671064E-3</v>
      </c>
      <c r="F77" s="33">
        <f t="shared" si="1"/>
        <v>3.9698242664965551E-3</v>
      </c>
      <c r="G77" s="33">
        <f t="shared" si="4"/>
        <v>7.3180510412753008E-3</v>
      </c>
      <c r="H77" s="33">
        <f t="shared" si="4"/>
        <v>7.4705114496068587E-3</v>
      </c>
      <c r="I77" s="33">
        <f t="shared" si="4"/>
        <v>7.2506915621724831E-3</v>
      </c>
      <c r="J77" s="33">
        <f t="shared" si="4"/>
        <v>8.8670990245376478E-3</v>
      </c>
      <c r="K77" s="33">
        <f t="shared" si="4"/>
        <v>8.7313218613325472E-3</v>
      </c>
    </row>
    <row r="78" spans="1:11">
      <c r="A78" s="30" t="s">
        <v>57</v>
      </c>
      <c r="B78" s="33">
        <f t="shared" si="1"/>
        <v>2.3365373893917258E-2</v>
      </c>
      <c r="C78" s="33">
        <f t="shared" si="1"/>
        <v>2.3647378543059271E-2</v>
      </c>
      <c r="D78" s="33">
        <f t="shared" si="1"/>
        <v>2.3725244041933224E-2</v>
      </c>
      <c r="E78" s="33">
        <f t="shared" si="1"/>
        <v>2.3805445009885622E-2</v>
      </c>
      <c r="F78" s="33">
        <f t="shared" si="1"/>
        <v>2.3893065365106773E-2</v>
      </c>
      <c r="G78" s="33">
        <f t="shared" si="4"/>
        <v>2.3947692905106396E-2</v>
      </c>
      <c r="H78" s="33">
        <f t="shared" si="4"/>
        <v>2.4636541961434145E-2</v>
      </c>
      <c r="I78" s="33">
        <f t="shared" si="4"/>
        <v>2.3456646357406363E-2</v>
      </c>
      <c r="J78" s="33">
        <f t="shared" si="4"/>
        <v>2.4750218874868744E-2</v>
      </c>
      <c r="K78" s="33">
        <f t="shared" si="4"/>
        <v>2.4282525722678781E-2</v>
      </c>
    </row>
    <row r="79" spans="1:11">
      <c r="A79" s="29" t="s">
        <v>58</v>
      </c>
      <c r="B79" s="33">
        <f t="shared" si="1"/>
        <v>5.7308334768413779E-2</v>
      </c>
      <c r="C79" s="33">
        <f t="shared" si="1"/>
        <v>5.7474141471112163E-2</v>
      </c>
      <c r="D79" s="33">
        <f t="shared" si="1"/>
        <v>5.7655698510207319E-2</v>
      </c>
      <c r="E79" s="33">
        <f t="shared" si="1"/>
        <v>5.7701869311756054E-2</v>
      </c>
      <c r="F79" s="33">
        <f t="shared" si="1"/>
        <v>5.7980968373995669E-2</v>
      </c>
      <c r="G79" s="33">
        <f t="shared" si="4"/>
        <v>5.0310529248753726E-2</v>
      </c>
      <c r="H79" s="33">
        <f t="shared" si="4"/>
        <v>5.1380066518899349E-2</v>
      </c>
      <c r="I79" s="33">
        <f t="shared" si="4"/>
        <v>5.253411670097928E-2</v>
      </c>
      <c r="J79" s="33">
        <f t="shared" si="4"/>
        <v>5.004040020838206E-2</v>
      </c>
      <c r="K79" s="33">
        <f t="shared" si="4"/>
        <v>5.3682754288673883E-2</v>
      </c>
    </row>
    <row r="80" spans="1:11">
      <c r="A80" s="29" t="s">
        <v>59</v>
      </c>
      <c r="B80" s="33">
        <f t="shared" si="1"/>
        <v>1.6193695728702561E-2</v>
      </c>
      <c r="C80" s="33">
        <f t="shared" si="1"/>
        <v>1.5843806855918942E-2</v>
      </c>
      <c r="D80" s="33">
        <f t="shared" si="1"/>
        <v>1.5903174087514939E-2</v>
      </c>
      <c r="E80" s="33">
        <f t="shared" si="1"/>
        <v>1.593756169691617E-2</v>
      </c>
      <c r="F80" s="33">
        <f t="shared" si="1"/>
        <v>1.6007111746112322E-2</v>
      </c>
      <c r="G80" s="33">
        <f t="shared" si="4"/>
        <v>1.5580171516033295E-2</v>
      </c>
      <c r="H80" s="33">
        <f t="shared" si="4"/>
        <v>1.61642341710749E-2</v>
      </c>
      <c r="I80" s="33">
        <f t="shared" si="4"/>
        <v>1.6981119638607954E-2</v>
      </c>
      <c r="J80" s="33">
        <f t="shared" si="4"/>
        <v>1.5227174076216167E-2</v>
      </c>
      <c r="K80" s="33">
        <f t="shared" si="4"/>
        <v>1.5473766595436388E-2</v>
      </c>
    </row>
    <row r="81" spans="1:11">
      <c r="A81" s="29" t="s">
        <v>60</v>
      </c>
      <c r="B81" s="33">
        <f t="shared" si="1"/>
        <v>1.9487448437719778E-2</v>
      </c>
      <c r="C81" s="33">
        <f t="shared" si="1"/>
        <v>1.9360079600776476E-2</v>
      </c>
      <c r="D81" s="33">
        <f t="shared" si="1"/>
        <v>1.9141535215919825E-2</v>
      </c>
      <c r="E81" s="33">
        <f t="shared" si="1"/>
        <v>1.9614013345893851E-2</v>
      </c>
      <c r="F81" s="33">
        <f t="shared" si="1"/>
        <v>1.9416225940149152E-2</v>
      </c>
      <c r="G81" s="33">
        <f t="shared" si="4"/>
        <v>1.9378638916135671E-2</v>
      </c>
      <c r="H81" s="33">
        <f t="shared" si="4"/>
        <v>1.9633697558534505E-2</v>
      </c>
      <c r="I81" s="33">
        <f t="shared" si="4"/>
        <v>1.865844628665719E-2</v>
      </c>
      <c r="J81" s="33">
        <f t="shared" si="4"/>
        <v>1.7809063533643112E-2</v>
      </c>
      <c r="K81" s="33">
        <f t="shared" si="4"/>
        <v>2.0303330774902113E-2</v>
      </c>
    </row>
    <row r="82" spans="1:11">
      <c r="A82" s="29" t="s">
        <v>61</v>
      </c>
      <c r="B82" s="33">
        <f t="shared" si="1"/>
        <v>2.568250351852502E-2</v>
      </c>
      <c r="C82" s="33">
        <f t="shared" si="1"/>
        <v>2.6066808062447978E-2</v>
      </c>
      <c r="D82" s="33">
        <f t="shared" si="1"/>
        <v>2.6103976444573518E-2</v>
      </c>
      <c r="E82" s="33">
        <f t="shared" si="1"/>
        <v>2.6310353541821468E-2</v>
      </c>
      <c r="F82" s="33">
        <f t="shared" si="1"/>
        <v>2.6520661158603718E-2</v>
      </c>
      <c r="G82" s="33">
        <f>G34/G$35</f>
        <v>2.448528799917293E-2</v>
      </c>
      <c r="H82" s="33">
        <f>H34/H$35</f>
        <v>2.4981647109921418E-2</v>
      </c>
      <c r="I82" s="33">
        <f>I34/I$35</f>
        <v>2.4951167690918399E-2</v>
      </c>
      <c r="J82" s="33">
        <f>J34/J$35</f>
        <v>2.4746727738282678E-2</v>
      </c>
      <c r="K82" s="33">
        <f>K34/K$35</f>
        <v>2.5388257845205427E-2</v>
      </c>
    </row>
    <row r="83" spans="1:11" ht="13.5" thickBot="1">
      <c r="A83" s="31" t="s">
        <v>5</v>
      </c>
      <c r="B83" s="34">
        <f t="shared" ref="B83:K83" si="5">SUM(B51:B82)</f>
        <v>0.99999999999999989</v>
      </c>
      <c r="C83" s="34">
        <f t="shared" si="5"/>
        <v>0.99999999999999989</v>
      </c>
      <c r="D83" s="34">
        <f t="shared" si="5"/>
        <v>1</v>
      </c>
      <c r="E83" s="34">
        <f t="shared" si="5"/>
        <v>1</v>
      </c>
      <c r="F83" s="34">
        <f t="shared" si="5"/>
        <v>0.99999999999999989</v>
      </c>
      <c r="G83" s="34">
        <f t="shared" si="5"/>
        <v>0.99999999999999978</v>
      </c>
      <c r="H83" s="34">
        <f t="shared" si="5"/>
        <v>1.0000000000000002</v>
      </c>
      <c r="I83" s="34">
        <f t="shared" si="5"/>
        <v>1</v>
      </c>
      <c r="J83" s="34">
        <f t="shared" si="5"/>
        <v>1</v>
      </c>
      <c r="K83" s="34">
        <f t="shared" si="5"/>
        <v>1</v>
      </c>
    </row>
    <row r="86" spans="1:11">
      <c r="E86" s="35"/>
      <c r="F86" s="35"/>
      <c r="J86" s="35"/>
      <c r="K86" s="35"/>
    </row>
  </sheetData>
  <sheetProtection selectLockedCells="1" selectUnlockedCells="1"/>
  <mergeCells count="4">
    <mergeCell ref="B1:F1"/>
    <mergeCell ref="G1:K1"/>
    <mergeCell ref="B49:F49"/>
    <mergeCell ref="G49:K49"/>
  </mergeCells>
  <phoneticPr fontId="5" type="noConversion"/>
  <conditionalFormatting sqref="E86:F86 J86:K86">
    <cfRule type="cellIs" dxfId="0" priority="1" stopIfTrue="1" operator="notEqual">
      <formula>0</formula>
    </cfRule>
  </conditionalFormatting>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49"/>
  <sheetViews>
    <sheetView zoomScaleNormal="100" workbookViewId="0">
      <selection activeCell="D42" sqref="D42"/>
    </sheetView>
  </sheetViews>
  <sheetFormatPr defaultRowHeight="12.75"/>
  <cols>
    <col min="1" max="1" width="18.5703125" customWidth="1"/>
    <col min="2" max="13" width="7.5703125" bestFit="1" customWidth="1"/>
    <col min="14" max="22" width="9.5703125" bestFit="1" customWidth="1"/>
  </cols>
  <sheetData>
    <row r="1" spans="1:22">
      <c r="A1" s="1" t="s">
        <v>336</v>
      </c>
      <c r="B1" s="1"/>
    </row>
    <row r="2" spans="1:22">
      <c r="A2" s="91"/>
      <c r="B2" s="748" t="s">
        <v>203</v>
      </c>
      <c r="C2" s="749"/>
      <c r="D2" s="749"/>
      <c r="E2" s="750"/>
      <c r="F2" s="751" t="s">
        <v>204</v>
      </c>
      <c r="G2" s="749"/>
      <c r="H2" s="749"/>
      <c r="I2" s="750"/>
      <c r="J2" s="751" t="s">
        <v>162</v>
      </c>
      <c r="K2" s="749"/>
      <c r="L2" s="749"/>
      <c r="M2" s="750"/>
      <c r="N2" s="743" t="s">
        <v>172</v>
      </c>
      <c r="O2" s="744"/>
      <c r="P2" s="745"/>
      <c r="Q2" s="746" t="s">
        <v>173</v>
      </c>
      <c r="R2" s="744"/>
      <c r="S2" s="745"/>
      <c r="T2" s="746" t="s">
        <v>163</v>
      </c>
      <c r="U2" s="744"/>
      <c r="V2" s="745"/>
    </row>
    <row r="3" spans="1:22">
      <c r="A3" s="94" t="s">
        <v>26</v>
      </c>
      <c r="B3" s="99">
        <v>2012</v>
      </c>
      <c r="C3" s="99">
        <v>2017</v>
      </c>
      <c r="D3" s="99">
        <v>2027</v>
      </c>
      <c r="E3" s="141">
        <v>2037</v>
      </c>
      <c r="F3" s="474">
        <v>2012</v>
      </c>
      <c r="G3" s="474">
        <v>2017</v>
      </c>
      <c r="H3" s="474">
        <v>2027</v>
      </c>
      <c r="I3" s="141">
        <v>2037</v>
      </c>
      <c r="J3" s="474">
        <v>2012</v>
      </c>
      <c r="K3" s="474">
        <v>2017</v>
      </c>
      <c r="L3" s="474">
        <v>2027</v>
      </c>
      <c r="M3" s="141">
        <v>2037</v>
      </c>
      <c r="N3" s="192" t="s">
        <v>337</v>
      </c>
      <c r="O3" s="66" t="s">
        <v>338</v>
      </c>
      <c r="P3" s="99" t="s">
        <v>339</v>
      </c>
      <c r="Q3" s="472" t="s">
        <v>337</v>
      </c>
      <c r="R3" s="473" t="s">
        <v>338</v>
      </c>
      <c r="S3" s="474" t="s">
        <v>339</v>
      </c>
      <c r="T3" s="472" t="s">
        <v>337</v>
      </c>
      <c r="U3" s="473" t="s">
        <v>338</v>
      </c>
      <c r="V3" s="474" t="s">
        <v>339</v>
      </c>
    </row>
    <row r="4" spans="1:22">
      <c r="A4" s="91" t="s">
        <v>31</v>
      </c>
      <c r="B4" s="78">
        <v>17152</v>
      </c>
      <c r="C4" s="78">
        <v>19554</v>
      </c>
      <c r="D4" s="78">
        <v>22921</v>
      </c>
      <c r="E4" s="142">
        <v>24204</v>
      </c>
      <c r="F4" s="78">
        <v>11712</v>
      </c>
      <c r="G4" s="139">
        <v>11576</v>
      </c>
      <c r="H4" s="78">
        <v>14771</v>
      </c>
      <c r="I4" s="142">
        <v>17943</v>
      </c>
      <c r="J4" s="78">
        <v>4302</v>
      </c>
      <c r="K4" s="139">
        <v>5087</v>
      </c>
      <c r="L4" s="78">
        <v>6445</v>
      </c>
      <c r="M4" s="142">
        <v>9384</v>
      </c>
      <c r="N4" s="203">
        <f>(C4-B4)/B4</f>
        <v>0.14004197761194029</v>
      </c>
      <c r="O4" s="144">
        <f>(D4-$C4)/$C4</f>
        <v>0.17218983328219289</v>
      </c>
      <c r="P4" s="109">
        <f>(E4-$C4)/$C4</f>
        <v>0.23780300705737956</v>
      </c>
      <c r="Q4" s="203">
        <f>(G4-F4)/F4</f>
        <v>-1.1612021857923498E-2</v>
      </c>
      <c r="R4" s="109">
        <f>(H4-$G4)/$G4</f>
        <v>0.27600207325501036</v>
      </c>
      <c r="S4" s="109">
        <f>(I4-$G4)/$G4</f>
        <v>0.55001727712508641</v>
      </c>
      <c r="T4" s="203">
        <f>(K4-J4)/J4</f>
        <v>0.18247326824732682</v>
      </c>
      <c r="U4" s="109">
        <f>(L4-$K4)/$K4</f>
        <v>0.26695498329074113</v>
      </c>
      <c r="V4" s="109">
        <f>(M4-$K4)/$K4</f>
        <v>0.84470218203263225</v>
      </c>
    </row>
    <row r="5" spans="1:22">
      <c r="A5" s="91" t="s">
        <v>32</v>
      </c>
      <c r="B5" s="78">
        <v>24363</v>
      </c>
      <c r="C5" s="78">
        <v>28392</v>
      </c>
      <c r="D5" s="78">
        <v>31379</v>
      </c>
      <c r="E5" s="142">
        <v>34984</v>
      </c>
      <c r="F5" s="78">
        <v>13519</v>
      </c>
      <c r="G5" s="139">
        <v>15261</v>
      </c>
      <c r="H5" s="78">
        <v>22199</v>
      </c>
      <c r="I5" s="142">
        <v>25319</v>
      </c>
      <c r="J5" s="78">
        <v>5041</v>
      </c>
      <c r="K5" s="139">
        <v>5886</v>
      </c>
      <c r="L5" s="78">
        <v>8928</v>
      </c>
      <c r="M5" s="142">
        <v>14537</v>
      </c>
      <c r="N5" s="203">
        <f t="shared" ref="N5:N36" si="0">(C5-B5)/B5</f>
        <v>0.16537372244797438</v>
      </c>
      <c r="O5" s="144">
        <f t="shared" ref="O5:O36" si="1">(D5-$C5)/$C5</f>
        <v>0.10520569174415328</v>
      </c>
      <c r="P5" s="109">
        <f t="shared" ref="P5:P36" si="2">(E5-$C5)/$C5</f>
        <v>0.2321780783319245</v>
      </c>
      <c r="Q5" s="203">
        <f t="shared" ref="Q5:Q36" si="3">(G5-F5)/F5</f>
        <v>0.12885568459205562</v>
      </c>
      <c r="R5" s="109">
        <f t="shared" ref="R5:S36" si="4">(H5-$G5)/$G5</f>
        <v>0.45462289496101171</v>
      </c>
      <c r="S5" s="109">
        <f t="shared" ref="S5:S36" si="5">(I5-$G5)/$G5</f>
        <v>0.6590655920319769</v>
      </c>
      <c r="T5" s="203">
        <f t="shared" ref="T5:T36" si="6">(K5-J5)/J5</f>
        <v>0.16762547113667922</v>
      </c>
      <c r="U5" s="109">
        <f t="shared" ref="U5:U36" si="7">(L5-$K5)/$K5</f>
        <v>0.51681957186544347</v>
      </c>
      <c r="V5" s="109">
        <f t="shared" ref="V5:V35" si="8">(M5-$K5)/$K5</f>
        <v>1.4697587495752633</v>
      </c>
    </row>
    <row r="6" spans="1:22">
      <c r="A6" s="91" t="s">
        <v>33</v>
      </c>
      <c r="B6" s="78">
        <v>13142</v>
      </c>
      <c r="C6" s="78">
        <v>14883</v>
      </c>
      <c r="D6" s="78">
        <v>15463</v>
      </c>
      <c r="E6" s="142">
        <v>16283</v>
      </c>
      <c r="F6" s="78">
        <v>8063</v>
      </c>
      <c r="G6" s="139">
        <v>8730</v>
      </c>
      <c r="H6" s="78">
        <v>12003</v>
      </c>
      <c r="I6" s="142">
        <v>12866</v>
      </c>
      <c r="J6" s="78">
        <v>3029</v>
      </c>
      <c r="K6" s="139">
        <v>3641</v>
      </c>
      <c r="L6" s="78">
        <v>5250</v>
      </c>
      <c r="M6" s="142">
        <v>8050</v>
      </c>
      <c r="N6" s="203">
        <f t="shared" si="0"/>
        <v>0.13247603104550296</v>
      </c>
      <c r="O6" s="144">
        <f t="shared" si="1"/>
        <v>3.8970637640260701E-2</v>
      </c>
      <c r="P6" s="109">
        <f t="shared" si="2"/>
        <v>9.4067056373043065E-2</v>
      </c>
      <c r="Q6" s="203">
        <f t="shared" si="3"/>
        <v>8.2723552027781228E-2</v>
      </c>
      <c r="R6" s="109">
        <f t="shared" si="4"/>
        <v>0.37491408934707904</v>
      </c>
      <c r="S6" s="109">
        <f t="shared" si="5"/>
        <v>0.47376861397479952</v>
      </c>
      <c r="T6" s="203">
        <f t="shared" si="6"/>
        <v>0.20204688015846814</v>
      </c>
      <c r="U6" s="109">
        <f t="shared" si="7"/>
        <v>0.44191156275748422</v>
      </c>
      <c r="V6" s="109">
        <f t="shared" si="8"/>
        <v>1.2109310628948091</v>
      </c>
    </row>
    <row r="7" spans="1:22">
      <c r="A7" s="91" t="s">
        <v>34</v>
      </c>
      <c r="B7" s="78">
        <v>11328</v>
      </c>
      <c r="C7" s="78">
        <v>12250</v>
      </c>
      <c r="D7" s="78">
        <v>11788</v>
      </c>
      <c r="E7" s="142">
        <v>11474</v>
      </c>
      <c r="F7" s="78">
        <v>6471</v>
      </c>
      <c r="G7" s="139">
        <v>7170</v>
      </c>
      <c r="H7" s="78">
        <v>9385</v>
      </c>
      <c r="I7" s="142">
        <v>9344</v>
      </c>
      <c r="J7" s="78">
        <v>2356</v>
      </c>
      <c r="K7" s="139">
        <v>2720</v>
      </c>
      <c r="L7" s="78">
        <v>3988</v>
      </c>
      <c r="M7" s="142">
        <v>5904</v>
      </c>
      <c r="N7" s="203">
        <f t="shared" si="0"/>
        <v>8.1391242937853103E-2</v>
      </c>
      <c r="O7" s="144">
        <f t="shared" si="1"/>
        <v>-3.7714285714285714E-2</v>
      </c>
      <c r="P7" s="109">
        <f t="shared" si="2"/>
        <v>-6.3346938775510203E-2</v>
      </c>
      <c r="Q7" s="203">
        <f t="shared" si="3"/>
        <v>0.10802039870190079</v>
      </c>
      <c r="R7" s="109">
        <f t="shared" si="4"/>
        <v>0.30892608089260809</v>
      </c>
      <c r="S7" s="109">
        <f t="shared" si="5"/>
        <v>0.30320781032078103</v>
      </c>
      <c r="T7" s="203">
        <f t="shared" si="6"/>
        <v>0.15449915110356535</v>
      </c>
      <c r="U7" s="109">
        <f t="shared" si="7"/>
        <v>0.4661764705882353</v>
      </c>
      <c r="V7" s="109">
        <f t="shared" si="8"/>
        <v>1.1705882352941177</v>
      </c>
    </row>
    <row r="8" spans="1:22">
      <c r="A8" s="91" t="s">
        <v>35</v>
      </c>
      <c r="B8" s="78">
        <v>5163</v>
      </c>
      <c r="C8" s="78">
        <v>6028</v>
      </c>
      <c r="D8" s="78">
        <v>6469</v>
      </c>
      <c r="E8" s="142">
        <v>7590</v>
      </c>
      <c r="F8" s="78">
        <v>2719</v>
      </c>
      <c r="G8" s="139">
        <v>3101</v>
      </c>
      <c r="H8" s="78">
        <v>4666</v>
      </c>
      <c r="I8" s="142">
        <v>5215</v>
      </c>
      <c r="J8" s="78">
        <v>849</v>
      </c>
      <c r="K8" s="139">
        <v>1050</v>
      </c>
      <c r="L8" s="78">
        <v>1705</v>
      </c>
      <c r="M8" s="142">
        <v>2858</v>
      </c>
      <c r="N8" s="203">
        <f t="shared" si="0"/>
        <v>0.16753825295370908</v>
      </c>
      <c r="O8" s="144">
        <f t="shared" si="1"/>
        <v>7.3158593231585939E-2</v>
      </c>
      <c r="P8" s="109">
        <f t="shared" si="2"/>
        <v>0.25912408759124089</v>
      </c>
      <c r="Q8" s="203">
        <f t="shared" si="3"/>
        <v>0.14049282824567855</v>
      </c>
      <c r="R8" s="109">
        <f t="shared" si="4"/>
        <v>0.5046759109964527</v>
      </c>
      <c r="S8" s="109">
        <f t="shared" si="5"/>
        <v>0.68171557562076746</v>
      </c>
      <c r="T8" s="203">
        <f t="shared" si="6"/>
        <v>0.23674911660777384</v>
      </c>
      <c r="U8" s="109">
        <f t="shared" si="7"/>
        <v>0.62380952380952381</v>
      </c>
      <c r="V8" s="109">
        <f t="shared" si="8"/>
        <v>1.7219047619047618</v>
      </c>
    </row>
    <row r="9" spans="1:22">
      <c r="A9" s="91" t="s">
        <v>36</v>
      </c>
      <c r="B9" s="78">
        <v>18860</v>
      </c>
      <c r="C9" s="78">
        <v>20481</v>
      </c>
      <c r="D9" s="78">
        <v>20814</v>
      </c>
      <c r="E9" s="142">
        <v>21150</v>
      </c>
      <c r="F9" s="78">
        <v>11540</v>
      </c>
      <c r="G9" s="139">
        <v>12563</v>
      </c>
      <c r="H9" s="78">
        <v>15968</v>
      </c>
      <c r="I9" s="142">
        <v>16791</v>
      </c>
      <c r="J9" s="78">
        <v>3938</v>
      </c>
      <c r="K9" s="139">
        <v>4783</v>
      </c>
      <c r="L9" s="78">
        <v>7097</v>
      </c>
      <c r="M9" s="142">
        <v>10276</v>
      </c>
      <c r="N9" s="203">
        <f t="shared" si="0"/>
        <v>8.5949098621421E-2</v>
      </c>
      <c r="O9" s="144">
        <f t="shared" si="1"/>
        <v>1.6258971729896002E-2</v>
      </c>
      <c r="P9" s="109">
        <f t="shared" si="2"/>
        <v>3.2664420682583857E-2</v>
      </c>
      <c r="Q9" s="203">
        <f t="shared" si="3"/>
        <v>8.8648180242634309E-2</v>
      </c>
      <c r="R9" s="109">
        <f t="shared" si="4"/>
        <v>0.27103398869696727</v>
      </c>
      <c r="S9" s="109">
        <f t="shared" si="5"/>
        <v>0.33654381915147658</v>
      </c>
      <c r="T9" s="203">
        <f t="shared" si="6"/>
        <v>0.21457592686642965</v>
      </c>
      <c r="U9" s="109">
        <f t="shared" si="7"/>
        <v>0.48379678026343298</v>
      </c>
      <c r="V9" s="109">
        <f t="shared" si="8"/>
        <v>1.1484424001672591</v>
      </c>
    </row>
    <row r="10" spans="1:22">
      <c r="A10" s="91" t="s">
        <v>37</v>
      </c>
      <c r="B10" s="78">
        <v>12861</v>
      </c>
      <c r="C10" s="78">
        <v>13661</v>
      </c>
      <c r="D10" s="78">
        <v>15254</v>
      </c>
      <c r="E10" s="142">
        <v>15301</v>
      </c>
      <c r="F10" s="78">
        <v>8990</v>
      </c>
      <c r="G10" s="139">
        <v>8734</v>
      </c>
      <c r="H10" s="78">
        <v>10029</v>
      </c>
      <c r="I10" s="142">
        <v>11701</v>
      </c>
      <c r="J10" s="78">
        <v>3292</v>
      </c>
      <c r="K10" s="139">
        <v>3736</v>
      </c>
      <c r="L10" s="78">
        <v>4582</v>
      </c>
      <c r="M10" s="142">
        <v>6100</v>
      </c>
      <c r="N10" s="203">
        <f t="shared" si="0"/>
        <v>6.2203561153876062E-2</v>
      </c>
      <c r="O10" s="144">
        <f t="shared" si="1"/>
        <v>0.11660932581802211</v>
      </c>
      <c r="P10" s="109">
        <f t="shared" si="2"/>
        <v>0.1200497767366957</v>
      </c>
      <c r="Q10" s="203">
        <f t="shared" si="3"/>
        <v>-2.8476084538375974E-2</v>
      </c>
      <c r="R10" s="109">
        <f t="shared" si="4"/>
        <v>0.14827112434165332</v>
      </c>
      <c r="S10" s="109">
        <f t="shared" si="5"/>
        <v>0.33970689260361803</v>
      </c>
      <c r="T10" s="203">
        <f t="shared" si="6"/>
        <v>0.13487241798298907</v>
      </c>
      <c r="U10" s="109">
        <f t="shared" si="7"/>
        <v>0.22644539614561027</v>
      </c>
      <c r="V10" s="109">
        <f t="shared" si="8"/>
        <v>0.63276231263383298</v>
      </c>
    </row>
    <row r="11" spans="1:22">
      <c r="A11" s="91" t="s">
        <v>38</v>
      </c>
      <c r="B11" s="78">
        <v>12565</v>
      </c>
      <c r="C11" s="78">
        <v>13940</v>
      </c>
      <c r="D11" s="78">
        <v>15155</v>
      </c>
      <c r="E11" s="142">
        <v>17251</v>
      </c>
      <c r="F11" s="78">
        <v>7313</v>
      </c>
      <c r="G11" s="139">
        <v>7875</v>
      </c>
      <c r="H11" s="78">
        <v>10384</v>
      </c>
      <c r="I11" s="142">
        <v>11772</v>
      </c>
      <c r="J11" s="78">
        <v>2364</v>
      </c>
      <c r="K11" s="139">
        <v>2882</v>
      </c>
      <c r="L11" s="78">
        <v>4279</v>
      </c>
      <c r="M11" s="142">
        <v>6415</v>
      </c>
      <c r="N11" s="203">
        <f t="shared" si="0"/>
        <v>0.10943095901313171</v>
      </c>
      <c r="O11" s="144">
        <f t="shared" si="1"/>
        <v>8.715925394548063E-2</v>
      </c>
      <c r="P11" s="109">
        <f t="shared" si="2"/>
        <v>0.23751793400286944</v>
      </c>
      <c r="Q11" s="203">
        <f t="shared" si="3"/>
        <v>7.6849446191713383E-2</v>
      </c>
      <c r="R11" s="109">
        <f t="shared" si="4"/>
        <v>0.31860317460317461</v>
      </c>
      <c r="S11" s="109">
        <f t="shared" si="5"/>
        <v>0.49485714285714288</v>
      </c>
      <c r="T11" s="203">
        <f t="shared" si="6"/>
        <v>0.21912013536379019</v>
      </c>
      <c r="U11" s="109">
        <f t="shared" si="7"/>
        <v>0.48473282442748089</v>
      </c>
      <c r="V11" s="109">
        <f t="shared" si="8"/>
        <v>1.2258848022206801</v>
      </c>
    </row>
    <row r="12" spans="1:22">
      <c r="A12" s="91" t="s">
        <v>39</v>
      </c>
      <c r="B12" s="78">
        <v>11471</v>
      </c>
      <c r="C12" s="78">
        <v>12405</v>
      </c>
      <c r="D12" s="78">
        <v>13988</v>
      </c>
      <c r="E12" s="142">
        <v>13771</v>
      </c>
      <c r="F12" s="78">
        <v>7476</v>
      </c>
      <c r="G12" s="139">
        <v>8178</v>
      </c>
      <c r="H12" s="78">
        <v>10042</v>
      </c>
      <c r="I12" s="142">
        <v>11688</v>
      </c>
      <c r="J12" s="78">
        <v>2513</v>
      </c>
      <c r="K12" s="139">
        <v>3350</v>
      </c>
      <c r="L12" s="78">
        <v>5309</v>
      </c>
      <c r="M12" s="142">
        <v>7574</v>
      </c>
      <c r="N12" s="203">
        <f t="shared" si="0"/>
        <v>8.1422718158835325E-2</v>
      </c>
      <c r="O12" s="144">
        <f t="shared" si="1"/>
        <v>0.12760983474405482</v>
      </c>
      <c r="P12" s="109">
        <f t="shared" si="2"/>
        <v>0.11011688835147118</v>
      </c>
      <c r="Q12" s="203">
        <f t="shared" si="3"/>
        <v>9.3900481540930975E-2</v>
      </c>
      <c r="R12" s="109">
        <f t="shared" si="4"/>
        <v>0.22792858889704085</v>
      </c>
      <c r="S12" s="109">
        <f t="shared" si="5"/>
        <v>0.42920029347028615</v>
      </c>
      <c r="T12" s="203">
        <f t="shared" si="6"/>
        <v>0.33306804615996816</v>
      </c>
      <c r="U12" s="109">
        <f t="shared" si="7"/>
        <v>0.58477611940298513</v>
      </c>
      <c r="V12" s="109">
        <f t="shared" si="8"/>
        <v>1.2608955223880598</v>
      </c>
    </row>
    <row r="13" spans="1:22">
      <c r="A13" s="91" t="s">
        <v>40</v>
      </c>
      <c r="B13" s="78">
        <v>10058</v>
      </c>
      <c r="C13" s="78">
        <v>11179</v>
      </c>
      <c r="D13" s="78">
        <v>13158</v>
      </c>
      <c r="E13" s="142">
        <v>14965</v>
      </c>
      <c r="F13" s="78">
        <v>6202</v>
      </c>
      <c r="G13" s="139">
        <v>6793</v>
      </c>
      <c r="H13" s="78">
        <v>9022</v>
      </c>
      <c r="I13" s="142">
        <v>10961</v>
      </c>
      <c r="J13" s="78">
        <v>2305</v>
      </c>
      <c r="K13" s="139">
        <v>2764</v>
      </c>
      <c r="L13" s="78">
        <v>4045</v>
      </c>
      <c r="M13" s="142">
        <v>6051</v>
      </c>
      <c r="N13" s="203">
        <f t="shared" si="0"/>
        <v>0.11145356929807118</v>
      </c>
      <c r="O13" s="144">
        <f t="shared" si="1"/>
        <v>0.17702835674031667</v>
      </c>
      <c r="P13" s="109">
        <f t="shared" si="2"/>
        <v>0.33867072188925662</v>
      </c>
      <c r="Q13" s="203">
        <f t="shared" si="3"/>
        <v>9.5291841341502745E-2</v>
      </c>
      <c r="R13" s="109">
        <f t="shared" si="4"/>
        <v>0.32813190048579421</v>
      </c>
      <c r="S13" s="109">
        <f t="shared" si="5"/>
        <v>0.61357279552480493</v>
      </c>
      <c r="T13" s="203">
        <f t="shared" si="6"/>
        <v>0.19913232104121475</v>
      </c>
      <c r="U13" s="109">
        <f t="shared" si="7"/>
        <v>0.4634587554269175</v>
      </c>
      <c r="V13" s="109">
        <f t="shared" si="8"/>
        <v>1.189218523878437</v>
      </c>
    </row>
    <row r="14" spans="1:22">
      <c r="A14" s="91" t="s">
        <v>41</v>
      </c>
      <c r="B14" s="78">
        <v>8763</v>
      </c>
      <c r="C14" s="78">
        <v>9710</v>
      </c>
      <c r="D14" s="78">
        <v>11604</v>
      </c>
      <c r="E14" s="142">
        <v>12034</v>
      </c>
      <c r="F14" s="78">
        <v>5858</v>
      </c>
      <c r="G14" s="139">
        <v>6134</v>
      </c>
      <c r="H14" s="78">
        <v>7779</v>
      </c>
      <c r="I14" s="142">
        <v>9597</v>
      </c>
      <c r="J14" s="78">
        <v>2285</v>
      </c>
      <c r="K14" s="139">
        <v>2720</v>
      </c>
      <c r="L14" s="78">
        <v>3708</v>
      </c>
      <c r="M14" s="142">
        <v>5339</v>
      </c>
      <c r="N14" s="203">
        <f t="shared" si="0"/>
        <v>0.10806801323747575</v>
      </c>
      <c r="O14" s="144">
        <f t="shared" si="1"/>
        <v>0.19505664263645725</v>
      </c>
      <c r="P14" s="109">
        <f t="shared" si="2"/>
        <v>0.23934088568486098</v>
      </c>
      <c r="Q14" s="203">
        <f t="shared" si="3"/>
        <v>4.7115056333219531E-2</v>
      </c>
      <c r="R14" s="109">
        <f t="shared" si="4"/>
        <v>0.26817737202477993</v>
      </c>
      <c r="S14" s="109">
        <f t="shared" si="5"/>
        <v>0.56455820019563085</v>
      </c>
      <c r="T14" s="203">
        <f t="shared" si="6"/>
        <v>0.19037199124726478</v>
      </c>
      <c r="U14" s="109">
        <f t="shared" si="7"/>
        <v>0.36323529411764705</v>
      </c>
      <c r="V14" s="109">
        <f t="shared" si="8"/>
        <v>0.96286764705882355</v>
      </c>
    </row>
    <row r="15" spans="1:22">
      <c r="A15" s="91" t="s">
        <v>140</v>
      </c>
      <c r="B15" s="78">
        <v>36069</v>
      </c>
      <c r="C15" s="78">
        <v>41335</v>
      </c>
      <c r="D15" s="78">
        <v>49271</v>
      </c>
      <c r="E15" s="142">
        <v>56293</v>
      </c>
      <c r="F15" s="78">
        <v>24693</v>
      </c>
      <c r="G15" s="139">
        <v>24611</v>
      </c>
      <c r="H15" s="78">
        <v>32277</v>
      </c>
      <c r="I15" s="142">
        <v>39794</v>
      </c>
      <c r="J15" s="78">
        <v>10126</v>
      </c>
      <c r="K15" s="139">
        <v>11537</v>
      </c>
      <c r="L15" s="78">
        <v>14437</v>
      </c>
      <c r="M15" s="142">
        <v>21315</v>
      </c>
      <c r="N15" s="203">
        <f t="shared" si="0"/>
        <v>0.14599794837672239</v>
      </c>
      <c r="O15" s="144">
        <f t="shared" si="1"/>
        <v>0.19199225837667835</v>
      </c>
      <c r="P15" s="109">
        <f t="shared" si="2"/>
        <v>0.36187250514092173</v>
      </c>
      <c r="Q15" s="203">
        <f t="shared" si="3"/>
        <v>-3.3207791681853158E-3</v>
      </c>
      <c r="R15" s="109">
        <f t="shared" si="4"/>
        <v>0.31148673357441792</v>
      </c>
      <c r="S15" s="109">
        <f t="shared" si="5"/>
        <v>0.61691926374385442</v>
      </c>
      <c r="T15" s="203">
        <f t="shared" si="6"/>
        <v>0.13934426229508196</v>
      </c>
      <c r="U15" s="109">
        <f t="shared" si="7"/>
        <v>0.25136517292190347</v>
      </c>
      <c r="V15" s="109">
        <f t="shared" si="8"/>
        <v>0.84753402097599029</v>
      </c>
    </row>
    <row r="16" spans="1:22">
      <c r="A16" s="91" t="s">
        <v>42</v>
      </c>
      <c r="B16" s="78">
        <v>3344</v>
      </c>
      <c r="C16" s="78">
        <v>3688</v>
      </c>
      <c r="D16" s="78">
        <v>3884</v>
      </c>
      <c r="E16" s="142">
        <v>4101</v>
      </c>
      <c r="F16" s="78">
        <v>2037</v>
      </c>
      <c r="G16" s="139">
        <v>2213</v>
      </c>
      <c r="H16" s="78">
        <v>2846</v>
      </c>
      <c r="I16" s="142">
        <v>3120</v>
      </c>
      <c r="J16" s="78">
        <v>795</v>
      </c>
      <c r="K16" s="139">
        <v>931</v>
      </c>
      <c r="L16" s="78">
        <v>1317</v>
      </c>
      <c r="M16" s="142">
        <v>1915</v>
      </c>
      <c r="N16" s="203">
        <f t="shared" si="0"/>
        <v>0.10287081339712918</v>
      </c>
      <c r="O16" s="144">
        <f t="shared" si="1"/>
        <v>5.3145336225596529E-2</v>
      </c>
      <c r="P16" s="109">
        <f t="shared" si="2"/>
        <v>0.11198481561822125</v>
      </c>
      <c r="Q16" s="203">
        <f t="shared" si="3"/>
        <v>8.640157093765341E-2</v>
      </c>
      <c r="R16" s="109">
        <f t="shared" si="4"/>
        <v>0.28603705377315863</v>
      </c>
      <c r="S16" s="109">
        <f t="shared" si="5"/>
        <v>0.40985088115680074</v>
      </c>
      <c r="T16" s="203">
        <f t="shared" si="6"/>
        <v>0.1710691823899371</v>
      </c>
      <c r="U16" s="109">
        <f t="shared" si="7"/>
        <v>0.4146079484425349</v>
      </c>
      <c r="V16" s="109">
        <f t="shared" si="8"/>
        <v>1.0569280343716434</v>
      </c>
    </row>
    <row r="17" spans="1:22">
      <c r="A17" s="91" t="s">
        <v>43</v>
      </c>
      <c r="B17" s="78">
        <v>14871</v>
      </c>
      <c r="C17" s="78">
        <v>16844</v>
      </c>
      <c r="D17" s="78">
        <v>18811</v>
      </c>
      <c r="E17" s="142">
        <v>22560</v>
      </c>
      <c r="F17" s="78">
        <v>8723</v>
      </c>
      <c r="G17" s="139">
        <v>9677</v>
      </c>
      <c r="H17" s="78">
        <v>12960</v>
      </c>
      <c r="I17" s="142">
        <v>15030</v>
      </c>
      <c r="J17" s="78">
        <v>2866</v>
      </c>
      <c r="K17" s="139">
        <v>3366</v>
      </c>
      <c r="L17" s="78">
        <v>5162</v>
      </c>
      <c r="M17" s="142">
        <v>7893</v>
      </c>
      <c r="N17" s="203">
        <f t="shared" si="0"/>
        <v>0.13267433259363862</v>
      </c>
      <c r="O17" s="144">
        <f t="shared" si="1"/>
        <v>0.11677748753265257</v>
      </c>
      <c r="P17" s="109">
        <f t="shared" si="2"/>
        <v>0.33934932320113986</v>
      </c>
      <c r="Q17" s="203">
        <f t="shared" si="3"/>
        <v>0.1093660437922733</v>
      </c>
      <c r="R17" s="109">
        <f t="shared" si="4"/>
        <v>0.339258034514829</v>
      </c>
      <c r="S17" s="109">
        <f t="shared" si="5"/>
        <v>0.55316730391650304</v>
      </c>
      <c r="T17" s="203">
        <f t="shared" si="6"/>
        <v>0.17445917655268667</v>
      </c>
      <c r="U17" s="109">
        <f t="shared" si="7"/>
        <v>0.53357100415923941</v>
      </c>
      <c r="V17" s="109">
        <f t="shared" si="8"/>
        <v>1.3449197860962567</v>
      </c>
    </row>
    <row r="18" spans="1:22">
      <c r="A18" s="91" t="s">
        <v>44</v>
      </c>
      <c r="B18" s="78">
        <v>37521</v>
      </c>
      <c r="C18" s="78">
        <v>42530</v>
      </c>
      <c r="D18" s="78">
        <v>45653</v>
      </c>
      <c r="E18" s="142">
        <v>49903</v>
      </c>
      <c r="F18" s="78">
        <v>21750</v>
      </c>
      <c r="G18" s="139">
        <v>23798</v>
      </c>
      <c r="H18" s="78">
        <v>33064</v>
      </c>
      <c r="I18" s="142">
        <v>36821</v>
      </c>
      <c r="J18" s="78">
        <v>7882</v>
      </c>
      <c r="K18" s="139">
        <v>8991</v>
      </c>
      <c r="L18" s="78">
        <v>13131</v>
      </c>
      <c r="M18" s="142">
        <v>20508</v>
      </c>
      <c r="N18" s="203">
        <f t="shared" si="0"/>
        <v>0.13349857413181951</v>
      </c>
      <c r="O18" s="144">
        <f t="shared" si="1"/>
        <v>7.3430519633200089E-2</v>
      </c>
      <c r="P18" s="109">
        <f t="shared" si="2"/>
        <v>0.17335998118974841</v>
      </c>
      <c r="Q18" s="203">
        <f t="shared" si="3"/>
        <v>9.4160919540229884E-2</v>
      </c>
      <c r="R18" s="109">
        <f t="shared" si="4"/>
        <v>0.3893604504580217</v>
      </c>
      <c r="S18" s="109">
        <f t="shared" si="5"/>
        <v>0.5472308597361123</v>
      </c>
      <c r="T18" s="203">
        <f t="shared" si="6"/>
        <v>0.14070032986551637</v>
      </c>
      <c r="U18" s="109">
        <f t="shared" si="7"/>
        <v>0.46046046046046046</v>
      </c>
      <c r="V18" s="109">
        <f t="shared" si="8"/>
        <v>1.2809476142809477</v>
      </c>
    </row>
    <row r="19" spans="1:22">
      <c r="A19" s="91" t="s">
        <v>45</v>
      </c>
      <c r="B19" s="78">
        <v>43111</v>
      </c>
      <c r="C19" s="78">
        <v>45163</v>
      </c>
      <c r="D19" s="78">
        <v>57611</v>
      </c>
      <c r="E19" s="142">
        <v>65040</v>
      </c>
      <c r="F19" s="78">
        <v>29437</v>
      </c>
      <c r="G19" s="139">
        <v>27918</v>
      </c>
      <c r="H19" s="78">
        <v>30607</v>
      </c>
      <c r="I19" s="142">
        <v>41535</v>
      </c>
      <c r="J19" s="78">
        <v>10410</v>
      </c>
      <c r="K19" s="139">
        <v>11407</v>
      </c>
      <c r="L19" s="78">
        <v>13517</v>
      </c>
      <c r="M19" s="142">
        <v>17301</v>
      </c>
      <c r="N19" s="203">
        <f t="shared" si="0"/>
        <v>4.7598060819744381E-2</v>
      </c>
      <c r="O19" s="144">
        <f t="shared" si="1"/>
        <v>0.27562385138276907</v>
      </c>
      <c r="P19" s="109">
        <f t="shared" si="2"/>
        <v>0.44011690985984103</v>
      </c>
      <c r="Q19" s="203">
        <f t="shared" si="3"/>
        <v>-5.160172571933281E-2</v>
      </c>
      <c r="R19" s="109">
        <f t="shared" si="4"/>
        <v>9.6317787807149516E-2</v>
      </c>
      <c r="S19" s="109">
        <f t="shared" si="5"/>
        <v>0.48774983881366862</v>
      </c>
      <c r="T19" s="203">
        <f t="shared" si="6"/>
        <v>9.5773294908741591E-2</v>
      </c>
      <c r="U19" s="109">
        <f t="shared" si="7"/>
        <v>0.18497413868677129</v>
      </c>
      <c r="V19" s="109">
        <f t="shared" si="8"/>
        <v>0.51670027176295252</v>
      </c>
    </row>
    <row r="20" spans="1:22">
      <c r="A20" s="91" t="s">
        <v>46</v>
      </c>
      <c r="B20" s="78">
        <v>25312</v>
      </c>
      <c r="C20" s="78">
        <v>29209</v>
      </c>
      <c r="D20" s="78">
        <v>31774</v>
      </c>
      <c r="E20" s="142">
        <v>33628</v>
      </c>
      <c r="F20" s="78">
        <v>14572</v>
      </c>
      <c r="G20" s="139">
        <v>16212</v>
      </c>
      <c r="H20" s="78">
        <v>23036</v>
      </c>
      <c r="I20" s="142">
        <v>25876</v>
      </c>
      <c r="J20" s="78">
        <v>5164</v>
      </c>
      <c r="K20" s="139">
        <v>6411</v>
      </c>
      <c r="L20" s="78">
        <v>9720</v>
      </c>
      <c r="M20" s="142">
        <v>15461</v>
      </c>
      <c r="N20" s="203">
        <f t="shared" si="0"/>
        <v>0.15395859671302148</v>
      </c>
      <c r="O20" s="144">
        <f t="shared" si="1"/>
        <v>8.7815399363209964E-2</v>
      </c>
      <c r="P20" s="109">
        <f t="shared" si="2"/>
        <v>0.15128898627135473</v>
      </c>
      <c r="Q20" s="203">
        <f t="shared" si="3"/>
        <v>0.11254460609387867</v>
      </c>
      <c r="R20" s="109">
        <f t="shared" si="4"/>
        <v>0.42092277325437949</v>
      </c>
      <c r="S20" s="109">
        <f t="shared" si="5"/>
        <v>0.59610165309647178</v>
      </c>
      <c r="T20" s="203">
        <f t="shared" si="6"/>
        <v>0.24147947327652983</v>
      </c>
      <c r="U20" s="109">
        <f t="shared" si="7"/>
        <v>0.51614412728123538</v>
      </c>
      <c r="V20" s="109">
        <f t="shared" si="8"/>
        <v>1.4116362501949773</v>
      </c>
    </row>
    <row r="21" spans="1:22">
      <c r="A21" s="91" t="s">
        <v>47</v>
      </c>
      <c r="B21" s="78">
        <v>8198</v>
      </c>
      <c r="C21" s="78">
        <v>8981</v>
      </c>
      <c r="D21" s="78">
        <v>10078</v>
      </c>
      <c r="E21" s="142">
        <v>10202</v>
      </c>
      <c r="F21" s="78">
        <v>5161</v>
      </c>
      <c r="G21" s="139">
        <v>5275</v>
      </c>
      <c r="H21" s="78">
        <v>6646</v>
      </c>
      <c r="I21" s="142">
        <v>7829</v>
      </c>
      <c r="J21" s="78">
        <v>1842</v>
      </c>
      <c r="K21" s="139">
        <v>2150</v>
      </c>
      <c r="L21" s="78">
        <v>2855</v>
      </c>
      <c r="M21" s="142">
        <v>4063</v>
      </c>
      <c r="N21" s="203">
        <f t="shared" si="0"/>
        <v>9.5511100268358143E-2</v>
      </c>
      <c r="O21" s="144">
        <f t="shared" si="1"/>
        <v>0.1221467542589912</v>
      </c>
      <c r="P21" s="109">
        <f t="shared" si="2"/>
        <v>0.13595367999109231</v>
      </c>
      <c r="Q21" s="203">
        <f t="shared" si="3"/>
        <v>2.2088742491765161E-2</v>
      </c>
      <c r="R21" s="109">
        <f t="shared" si="4"/>
        <v>0.25990521327014215</v>
      </c>
      <c r="S21" s="109">
        <f t="shared" si="5"/>
        <v>0.48417061611374407</v>
      </c>
      <c r="T21" s="203">
        <f t="shared" si="6"/>
        <v>0.16720955483170466</v>
      </c>
      <c r="U21" s="109">
        <f t="shared" si="7"/>
        <v>0.32790697674418606</v>
      </c>
      <c r="V21" s="109">
        <f t="shared" si="8"/>
        <v>0.88976744186046508</v>
      </c>
    </row>
    <row r="22" spans="1:22">
      <c r="A22" s="91" t="s">
        <v>48</v>
      </c>
      <c r="B22" s="78">
        <v>8421</v>
      </c>
      <c r="C22" s="78">
        <v>9710</v>
      </c>
      <c r="D22" s="78">
        <v>10400</v>
      </c>
      <c r="E22" s="142">
        <v>11480</v>
      </c>
      <c r="F22" s="78">
        <v>4728</v>
      </c>
      <c r="G22" s="139">
        <v>5314</v>
      </c>
      <c r="H22" s="78">
        <v>7641</v>
      </c>
      <c r="I22" s="142">
        <v>8464</v>
      </c>
      <c r="J22" s="78">
        <v>1556</v>
      </c>
      <c r="K22" s="139">
        <v>1909</v>
      </c>
      <c r="L22" s="78">
        <v>3007</v>
      </c>
      <c r="M22" s="142">
        <v>4837</v>
      </c>
      <c r="N22" s="203">
        <f t="shared" si="0"/>
        <v>0.15306970668566677</v>
      </c>
      <c r="O22" s="144">
        <f t="shared" si="1"/>
        <v>7.1060762100926878E-2</v>
      </c>
      <c r="P22" s="109">
        <f t="shared" si="2"/>
        <v>0.18228630278063851</v>
      </c>
      <c r="Q22" s="203">
        <f t="shared" si="3"/>
        <v>0.1239424703891709</v>
      </c>
      <c r="R22" s="109">
        <f t="shared" si="4"/>
        <v>0.43789988709070382</v>
      </c>
      <c r="S22" s="109">
        <f t="shared" si="5"/>
        <v>0.59277380504328192</v>
      </c>
      <c r="T22" s="203">
        <f t="shared" si="6"/>
        <v>0.2268637532133676</v>
      </c>
      <c r="U22" s="109">
        <f t="shared" si="7"/>
        <v>0.57517024620220014</v>
      </c>
      <c r="V22" s="109">
        <f t="shared" si="8"/>
        <v>1.533787323205867</v>
      </c>
    </row>
    <row r="23" spans="1:22">
      <c r="A23" s="91" t="s">
        <v>49</v>
      </c>
      <c r="B23" s="78">
        <v>9952</v>
      </c>
      <c r="C23" s="78">
        <v>10900</v>
      </c>
      <c r="D23" s="78">
        <v>11431</v>
      </c>
      <c r="E23" s="142">
        <v>12577</v>
      </c>
      <c r="F23" s="78">
        <v>5975</v>
      </c>
      <c r="G23" s="139">
        <v>6611</v>
      </c>
      <c r="H23" s="78">
        <v>8516</v>
      </c>
      <c r="I23" s="142">
        <v>9250</v>
      </c>
      <c r="J23" s="78">
        <v>2025</v>
      </c>
      <c r="K23" s="139">
        <v>2492</v>
      </c>
      <c r="L23" s="78">
        <v>3796</v>
      </c>
      <c r="M23" s="142">
        <v>5577</v>
      </c>
      <c r="N23" s="203">
        <f t="shared" si="0"/>
        <v>9.5257234726688109E-2</v>
      </c>
      <c r="O23" s="144">
        <f t="shared" si="1"/>
        <v>4.8715596330275231E-2</v>
      </c>
      <c r="P23" s="109">
        <f t="shared" si="2"/>
        <v>0.15385321100917432</v>
      </c>
      <c r="Q23" s="203">
        <f t="shared" si="3"/>
        <v>0.10644351464435146</v>
      </c>
      <c r="R23" s="109">
        <f t="shared" si="4"/>
        <v>0.28815610346392379</v>
      </c>
      <c r="S23" s="109">
        <f t="shared" si="5"/>
        <v>0.3991831795492361</v>
      </c>
      <c r="T23" s="203">
        <f t="shared" si="6"/>
        <v>0.23061728395061729</v>
      </c>
      <c r="U23" s="109">
        <f t="shared" si="7"/>
        <v>0.5232744783306581</v>
      </c>
      <c r="V23" s="109">
        <f t="shared" si="8"/>
        <v>1.2379614767255216</v>
      </c>
    </row>
    <row r="24" spans="1:22">
      <c r="A24" s="91" t="s">
        <v>50</v>
      </c>
      <c r="B24" s="78">
        <v>15442</v>
      </c>
      <c r="C24" s="78">
        <v>16968</v>
      </c>
      <c r="D24" s="78">
        <v>17913</v>
      </c>
      <c r="E24" s="142">
        <v>18675</v>
      </c>
      <c r="F24" s="78">
        <v>8714</v>
      </c>
      <c r="G24" s="139">
        <v>9790</v>
      </c>
      <c r="H24" s="78">
        <v>12958</v>
      </c>
      <c r="I24" s="142">
        <v>14221</v>
      </c>
      <c r="J24" s="78">
        <v>2926</v>
      </c>
      <c r="K24" s="139">
        <v>3542</v>
      </c>
      <c r="L24" s="78">
        <v>5405</v>
      </c>
      <c r="M24" s="142">
        <v>8119</v>
      </c>
      <c r="N24" s="203">
        <f t="shared" si="0"/>
        <v>9.8821396192203079E-2</v>
      </c>
      <c r="O24" s="144">
        <f t="shared" si="1"/>
        <v>5.5693069306930694E-2</v>
      </c>
      <c r="P24" s="109">
        <f t="shared" si="2"/>
        <v>0.10060113154172561</v>
      </c>
      <c r="Q24" s="203">
        <f t="shared" si="3"/>
        <v>0.12347945834289649</v>
      </c>
      <c r="R24" s="109">
        <f t="shared" si="4"/>
        <v>0.32359550561797751</v>
      </c>
      <c r="S24" s="109">
        <f t="shared" si="5"/>
        <v>0.45260469867211439</v>
      </c>
      <c r="T24" s="203">
        <f t="shared" si="6"/>
        <v>0.21052631578947367</v>
      </c>
      <c r="U24" s="109">
        <f t="shared" si="7"/>
        <v>0.52597402597402598</v>
      </c>
      <c r="V24" s="109">
        <f t="shared" si="8"/>
        <v>1.2922077922077921</v>
      </c>
    </row>
    <row r="25" spans="1:22">
      <c r="A25" s="91" t="s">
        <v>51</v>
      </c>
      <c r="B25" s="78">
        <v>30251</v>
      </c>
      <c r="C25" s="78">
        <v>33127</v>
      </c>
      <c r="D25" s="78">
        <v>38577</v>
      </c>
      <c r="E25" s="142">
        <v>44571</v>
      </c>
      <c r="F25" s="78">
        <v>17100</v>
      </c>
      <c r="G25" s="139">
        <v>18919</v>
      </c>
      <c r="H25" s="78">
        <v>24306</v>
      </c>
      <c r="I25" s="142">
        <v>29609</v>
      </c>
      <c r="J25" s="78">
        <v>4973</v>
      </c>
      <c r="K25" s="139">
        <v>6009</v>
      </c>
      <c r="L25" s="78">
        <v>9356</v>
      </c>
      <c r="M25" s="142">
        <v>13908</v>
      </c>
      <c r="N25" s="203">
        <f t="shared" si="0"/>
        <v>9.507123731446894E-2</v>
      </c>
      <c r="O25" s="144">
        <f t="shared" si="1"/>
        <v>0.16451836870226702</v>
      </c>
      <c r="P25" s="109">
        <f t="shared" si="2"/>
        <v>0.34545838741811813</v>
      </c>
      <c r="Q25" s="203">
        <f t="shared" si="3"/>
        <v>0.10637426900584795</v>
      </c>
      <c r="R25" s="109">
        <f t="shared" si="4"/>
        <v>0.28474020825625035</v>
      </c>
      <c r="S25" s="109">
        <f t="shared" si="5"/>
        <v>0.56504043554099059</v>
      </c>
      <c r="T25" s="203">
        <f t="shared" si="6"/>
        <v>0.20832495475568066</v>
      </c>
      <c r="U25" s="109">
        <f t="shared" si="7"/>
        <v>0.55699783657846569</v>
      </c>
      <c r="V25" s="109">
        <f t="shared" si="8"/>
        <v>1.3145282076884672</v>
      </c>
    </row>
    <row r="26" spans="1:22">
      <c r="A26" s="91" t="s">
        <v>52</v>
      </c>
      <c r="B26" s="78">
        <v>2601</v>
      </c>
      <c r="C26" s="78">
        <v>2769</v>
      </c>
      <c r="D26" s="78">
        <v>2903</v>
      </c>
      <c r="E26" s="142">
        <v>3119</v>
      </c>
      <c r="F26" s="78">
        <v>1341</v>
      </c>
      <c r="G26" s="139">
        <v>1664</v>
      </c>
      <c r="H26" s="78">
        <v>2190</v>
      </c>
      <c r="I26" s="142">
        <v>2386</v>
      </c>
      <c r="J26" s="78">
        <v>508</v>
      </c>
      <c r="K26" s="139">
        <v>630</v>
      </c>
      <c r="L26" s="78">
        <v>1089</v>
      </c>
      <c r="M26" s="142">
        <v>1604</v>
      </c>
      <c r="N26" s="203">
        <f t="shared" si="0"/>
        <v>6.4590542099192613E-2</v>
      </c>
      <c r="O26" s="144">
        <f t="shared" si="1"/>
        <v>4.8392921632358255E-2</v>
      </c>
      <c r="P26" s="109">
        <f t="shared" si="2"/>
        <v>0.12639942217407008</v>
      </c>
      <c r="Q26" s="203">
        <f t="shared" si="3"/>
        <v>0.24086502609992544</v>
      </c>
      <c r="R26" s="109">
        <f t="shared" si="4"/>
        <v>0.31610576923076922</v>
      </c>
      <c r="S26" s="109">
        <f t="shared" si="5"/>
        <v>0.43389423076923078</v>
      </c>
      <c r="T26" s="203">
        <f t="shared" si="6"/>
        <v>0.24015748031496062</v>
      </c>
      <c r="U26" s="109">
        <f t="shared" si="7"/>
        <v>0.72857142857142854</v>
      </c>
      <c r="V26" s="109">
        <f t="shared" si="8"/>
        <v>1.5460317460317461</v>
      </c>
    </row>
    <row r="27" spans="1:22">
      <c r="A27" s="91" t="s">
        <v>53</v>
      </c>
      <c r="B27" s="78">
        <v>16567</v>
      </c>
      <c r="C27" s="78">
        <v>18463</v>
      </c>
      <c r="D27" s="78">
        <v>19828</v>
      </c>
      <c r="E27" s="142">
        <v>21962</v>
      </c>
      <c r="F27" s="78">
        <v>10379</v>
      </c>
      <c r="G27" s="139">
        <v>11273</v>
      </c>
      <c r="H27" s="78">
        <v>15016</v>
      </c>
      <c r="I27" s="142">
        <v>16599</v>
      </c>
      <c r="J27" s="78">
        <v>4027</v>
      </c>
      <c r="K27" s="139">
        <v>4950</v>
      </c>
      <c r="L27" s="78">
        <v>7160</v>
      </c>
      <c r="M27" s="142">
        <v>10651</v>
      </c>
      <c r="N27" s="203">
        <f t="shared" si="0"/>
        <v>0.11444437737671274</v>
      </c>
      <c r="O27" s="144">
        <f t="shared" si="1"/>
        <v>7.3931647077939658E-2</v>
      </c>
      <c r="P27" s="109">
        <f t="shared" si="2"/>
        <v>0.18951416346205927</v>
      </c>
      <c r="Q27" s="203">
        <f t="shared" si="3"/>
        <v>8.6135465844493692E-2</v>
      </c>
      <c r="R27" s="109">
        <f t="shared" si="4"/>
        <v>0.33203228954138209</v>
      </c>
      <c r="S27" s="109">
        <f t="shared" si="5"/>
        <v>0.47245631154084983</v>
      </c>
      <c r="T27" s="203">
        <f t="shared" si="6"/>
        <v>0.22920288055624535</v>
      </c>
      <c r="U27" s="109">
        <f t="shared" si="7"/>
        <v>0.44646464646464645</v>
      </c>
      <c r="V27" s="109">
        <f t="shared" si="8"/>
        <v>1.1517171717171717</v>
      </c>
    </row>
    <row r="28" spans="1:22">
      <c r="A28" s="91" t="s">
        <v>54</v>
      </c>
      <c r="B28" s="78">
        <v>16879</v>
      </c>
      <c r="C28" s="78">
        <v>18317</v>
      </c>
      <c r="D28" s="78">
        <v>21323</v>
      </c>
      <c r="E28" s="142">
        <v>22720</v>
      </c>
      <c r="F28" s="78">
        <v>10354</v>
      </c>
      <c r="G28" s="139">
        <v>11045</v>
      </c>
      <c r="H28" s="78">
        <v>13784</v>
      </c>
      <c r="I28" s="142">
        <v>16730</v>
      </c>
      <c r="J28" s="78">
        <v>3334</v>
      </c>
      <c r="K28" s="139">
        <v>4003</v>
      </c>
      <c r="L28" s="78">
        <v>5849</v>
      </c>
      <c r="M28" s="142">
        <v>8385</v>
      </c>
      <c r="N28" s="203">
        <f t="shared" si="0"/>
        <v>8.5194620534391849E-2</v>
      </c>
      <c r="O28" s="144">
        <f t="shared" si="1"/>
        <v>0.16410984331495332</v>
      </c>
      <c r="P28" s="109">
        <f t="shared" si="2"/>
        <v>0.24037779112300048</v>
      </c>
      <c r="Q28" s="203">
        <f t="shared" si="3"/>
        <v>6.6737492756422642E-2</v>
      </c>
      <c r="R28" s="109">
        <f t="shared" si="4"/>
        <v>0.24798551380715256</v>
      </c>
      <c r="S28" s="109">
        <f t="shared" si="5"/>
        <v>0.51471253961068353</v>
      </c>
      <c r="T28" s="203">
        <f t="shared" si="6"/>
        <v>0.20065986802639471</v>
      </c>
      <c r="U28" s="109">
        <f t="shared" si="7"/>
        <v>0.46115413439920061</v>
      </c>
      <c r="V28" s="109">
        <f t="shared" si="8"/>
        <v>1.0946789907569323</v>
      </c>
    </row>
    <row r="29" spans="1:22">
      <c r="A29" s="91" t="s">
        <v>55</v>
      </c>
      <c r="B29" s="78">
        <v>13864</v>
      </c>
      <c r="C29" s="78">
        <v>15626</v>
      </c>
      <c r="D29" s="78">
        <v>16800</v>
      </c>
      <c r="E29" s="142">
        <v>18403</v>
      </c>
      <c r="F29" s="78">
        <v>8111</v>
      </c>
      <c r="G29" s="139">
        <v>8945</v>
      </c>
      <c r="H29" s="78">
        <v>12424</v>
      </c>
      <c r="I29" s="142">
        <v>13783</v>
      </c>
      <c r="J29" s="78">
        <v>2961</v>
      </c>
      <c r="K29" s="139">
        <v>3402</v>
      </c>
      <c r="L29" s="78">
        <v>4995</v>
      </c>
      <c r="M29" s="142">
        <v>7827</v>
      </c>
      <c r="N29" s="203">
        <f t="shared" si="0"/>
        <v>0.12709174841315637</v>
      </c>
      <c r="O29" s="144">
        <f t="shared" si="1"/>
        <v>7.5131191603737366E-2</v>
      </c>
      <c r="P29" s="109">
        <f t="shared" si="2"/>
        <v>0.17771662613592731</v>
      </c>
      <c r="Q29" s="203">
        <f t="shared" si="3"/>
        <v>0.10282332634693626</v>
      </c>
      <c r="R29" s="109">
        <f t="shared" si="4"/>
        <v>0.38893236444941309</v>
      </c>
      <c r="S29" s="109">
        <f t="shared" si="5"/>
        <v>0.54086081609837899</v>
      </c>
      <c r="T29" s="203">
        <f t="shared" si="6"/>
        <v>0.14893617021276595</v>
      </c>
      <c r="U29" s="109">
        <f t="shared" si="7"/>
        <v>0.46825396825396826</v>
      </c>
      <c r="V29" s="109">
        <f t="shared" si="8"/>
        <v>1.3007054673721341</v>
      </c>
    </row>
    <row r="30" spans="1:22">
      <c r="A30" s="91" t="s">
        <v>56</v>
      </c>
      <c r="B30" s="78">
        <v>2302</v>
      </c>
      <c r="C30" s="78">
        <v>2671</v>
      </c>
      <c r="D30" s="78">
        <v>2999</v>
      </c>
      <c r="E30" s="142">
        <v>3346</v>
      </c>
      <c r="F30" s="78">
        <v>1227</v>
      </c>
      <c r="G30" s="139">
        <v>1451</v>
      </c>
      <c r="H30" s="78">
        <v>2093</v>
      </c>
      <c r="I30" s="142">
        <v>2445</v>
      </c>
      <c r="J30" s="78">
        <v>453</v>
      </c>
      <c r="K30" s="139">
        <v>546</v>
      </c>
      <c r="L30" s="78">
        <v>889</v>
      </c>
      <c r="M30" s="142">
        <v>1432</v>
      </c>
      <c r="N30" s="203">
        <f t="shared" si="0"/>
        <v>0.16029539530842746</v>
      </c>
      <c r="O30" s="144">
        <f t="shared" si="1"/>
        <v>0.12280044926993636</v>
      </c>
      <c r="P30" s="109">
        <f t="shared" si="2"/>
        <v>0.25271433919880193</v>
      </c>
      <c r="Q30" s="203">
        <f t="shared" si="3"/>
        <v>0.18255908720456399</v>
      </c>
      <c r="R30" s="109">
        <f t="shared" si="4"/>
        <v>0.44245348035837356</v>
      </c>
      <c r="S30" s="109">
        <f t="shared" si="5"/>
        <v>0.68504479669193663</v>
      </c>
      <c r="T30" s="203">
        <f t="shared" si="6"/>
        <v>0.20529801324503311</v>
      </c>
      <c r="U30" s="109">
        <f t="shared" si="7"/>
        <v>0.62820512820512819</v>
      </c>
      <c r="V30" s="109">
        <f t="shared" si="8"/>
        <v>1.6227106227106227</v>
      </c>
    </row>
    <row r="31" spans="1:22">
      <c r="A31" s="91" t="s">
        <v>57</v>
      </c>
      <c r="B31" s="78">
        <v>13728</v>
      </c>
      <c r="C31" s="78">
        <v>15108</v>
      </c>
      <c r="D31" s="78">
        <v>15835</v>
      </c>
      <c r="E31" s="142">
        <v>15844</v>
      </c>
      <c r="F31" s="78">
        <v>8362</v>
      </c>
      <c r="G31" s="139">
        <v>9067</v>
      </c>
      <c r="H31" s="78">
        <v>11902</v>
      </c>
      <c r="I31" s="142">
        <v>12922</v>
      </c>
      <c r="J31" s="78">
        <v>3169</v>
      </c>
      <c r="K31" s="139">
        <v>3599</v>
      </c>
      <c r="L31" s="78">
        <v>5184</v>
      </c>
      <c r="M31" s="142">
        <v>7679</v>
      </c>
      <c r="N31" s="203">
        <f t="shared" si="0"/>
        <v>0.10052447552447552</v>
      </c>
      <c r="O31" s="144">
        <f t="shared" si="1"/>
        <v>4.8120201217897805E-2</v>
      </c>
      <c r="P31" s="109">
        <f t="shared" si="2"/>
        <v>4.871591209954991E-2</v>
      </c>
      <c r="Q31" s="203">
        <f t="shared" si="3"/>
        <v>8.4309973690504664E-2</v>
      </c>
      <c r="R31" s="109">
        <f t="shared" si="4"/>
        <v>0.3126723282232271</v>
      </c>
      <c r="S31" s="109">
        <f t="shared" si="5"/>
        <v>0.42516819234586961</v>
      </c>
      <c r="T31" s="203">
        <f t="shared" si="6"/>
        <v>0.13568949195329758</v>
      </c>
      <c r="U31" s="109">
        <f t="shared" si="7"/>
        <v>0.44040011114198391</v>
      </c>
      <c r="V31" s="109">
        <f t="shared" si="8"/>
        <v>1.1336482356210058</v>
      </c>
    </row>
    <row r="32" spans="1:22">
      <c r="A32" s="91" t="s">
        <v>58</v>
      </c>
      <c r="B32" s="78">
        <v>30449</v>
      </c>
      <c r="C32" s="78">
        <v>33663</v>
      </c>
      <c r="D32" s="78">
        <v>39820</v>
      </c>
      <c r="E32" s="142">
        <v>42968</v>
      </c>
      <c r="F32" s="78">
        <v>18510</v>
      </c>
      <c r="G32" s="139">
        <v>19934</v>
      </c>
      <c r="H32" s="78">
        <v>25683</v>
      </c>
      <c r="I32" s="142">
        <v>31560</v>
      </c>
      <c r="J32" s="78">
        <v>6060</v>
      </c>
      <c r="K32" s="139">
        <v>7599</v>
      </c>
      <c r="L32" s="78">
        <v>11262</v>
      </c>
      <c r="M32" s="142">
        <v>16452</v>
      </c>
      <c r="N32" s="203">
        <f t="shared" si="0"/>
        <v>0.10555354855660284</v>
      </c>
      <c r="O32" s="144">
        <f t="shared" si="1"/>
        <v>0.18290110804146986</v>
      </c>
      <c r="P32" s="109">
        <f t="shared" si="2"/>
        <v>0.2764162433532365</v>
      </c>
      <c r="Q32" s="203">
        <f t="shared" si="3"/>
        <v>7.6931388438681789E-2</v>
      </c>
      <c r="R32" s="109">
        <f t="shared" si="4"/>
        <v>0.28840172569479283</v>
      </c>
      <c r="S32" s="109">
        <f t="shared" si="5"/>
        <v>0.58322464131634388</v>
      </c>
      <c r="T32" s="203">
        <f t="shared" si="6"/>
        <v>0.25396039603960396</v>
      </c>
      <c r="U32" s="109">
        <f t="shared" si="7"/>
        <v>0.48203711014607187</v>
      </c>
      <c r="V32" s="109">
        <f t="shared" si="8"/>
        <v>1.1650217133833398</v>
      </c>
    </row>
    <row r="33" spans="1:24">
      <c r="A33" s="91" t="s">
        <v>59</v>
      </c>
      <c r="B33" s="78">
        <v>9022</v>
      </c>
      <c r="C33" s="78">
        <v>9848</v>
      </c>
      <c r="D33" s="78">
        <v>10887</v>
      </c>
      <c r="E33" s="142">
        <v>12426</v>
      </c>
      <c r="F33" s="78">
        <v>5379</v>
      </c>
      <c r="G33" s="139">
        <v>6040</v>
      </c>
      <c r="H33" s="78">
        <v>7862</v>
      </c>
      <c r="I33" s="142">
        <v>8996</v>
      </c>
      <c r="J33" s="78">
        <v>1870</v>
      </c>
      <c r="K33" s="139">
        <v>2249</v>
      </c>
      <c r="L33" s="78">
        <v>3480</v>
      </c>
      <c r="M33" s="142">
        <v>5161</v>
      </c>
      <c r="N33" s="203">
        <f t="shared" si="0"/>
        <v>9.1553979162048327E-2</v>
      </c>
      <c r="O33" s="144">
        <f t="shared" si="1"/>
        <v>0.10550365556458165</v>
      </c>
      <c r="P33" s="109">
        <f t="shared" si="2"/>
        <v>0.26177904142973191</v>
      </c>
      <c r="Q33" s="203">
        <f t="shared" si="3"/>
        <v>0.12288529466443576</v>
      </c>
      <c r="R33" s="109">
        <f t="shared" si="4"/>
        <v>0.30165562913907285</v>
      </c>
      <c r="S33" s="109">
        <f t="shared" si="4"/>
        <v>0.48940397350993375</v>
      </c>
      <c r="T33" s="203">
        <f t="shared" si="6"/>
        <v>0.20267379679144384</v>
      </c>
      <c r="U33" s="109">
        <f t="shared" si="7"/>
        <v>0.54735437972432188</v>
      </c>
      <c r="V33" s="109">
        <f t="shared" si="8"/>
        <v>1.2947976878612717</v>
      </c>
    </row>
    <row r="34" spans="1:24">
      <c r="A34" s="91" t="s">
        <v>60</v>
      </c>
      <c r="B34" s="78">
        <v>8388</v>
      </c>
      <c r="C34" s="78">
        <v>9276</v>
      </c>
      <c r="D34" s="78">
        <v>11074</v>
      </c>
      <c r="E34" s="142">
        <v>11640</v>
      </c>
      <c r="F34" s="78">
        <v>5158</v>
      </c>
      <c r="G34" s="139">
        <v>5246</v>
      </c>
      <c r="H34" s="78">
        <v>6664</v>
      </c>
      <c r="I34" s="142">
        <v>8354</v>
      </c>
      <c r="J34" s="78">
        <v>1725</v>
      </c>
      <c r="K34" s="139">
        <v>1914</v>
      </c>
      <c r="L34" s="78">
        <v>2523</v>
      </c>
      <c r="M34" s="142">
        <v>3709</v>
      </c>
      <c r="N34" s="203">
        <f t="shared" si="0"/>
        <v>0.10586552217453506</v>
      </c>
      <c r="O34" s="144">
        <f t="shared" si="1"/>
        <v>0.19383354894351013</v>
      </c>
      <c r="P34" s="109">
        <f t="shared" si="2"/>
        <v>0.25485122897800777</v>
      </c>
      <c r="Q34" s="203">
        <f t="shared" si="3"/>
        <v>1.7060876308646764E-2</v>
      </c>
      <c r="R34" s="109">
        <f t="shared" si="4"/>
        <v>0.27030118185284024</v>
      </c>
      <c r="S34" s="109">
        <f t="shared" si="5"/>
        <v>0.59245139153640869</v>
      </c>
      <c r="T34" s="203">
        <f t="shared" si="6"/>
        <v>0.10956521739130434</v>
      </c>
      <c r="U34" s="109">
        <f t="shared" si="7"/>
        <v>0.31818181818181818</v>
      </c>
      <c r="V34" s="109">
        <f t="shared" si="8"/>
        <v>0.93782654127481713</v>
      </c>
    </row>
    <row r="35" spans="1:24">
      <c r="A35" s="91" t="s">
        <v>61</v>
      </c>
      <c r="B35" s="78">
        <v>15247</v>
      </c>
      <c r="C35" s="78">
        <v>17200</v>
      </c>
      <c r="D35" s="78">
        <v>19877</v>
      </c>
      <c r="E35" s="142">
        <v>23947</v>
      </c>
      <c r="F35" s="78">
        <v>7670</v>
      </c>
      <c r="G35" s="139">
        <v>9225</v>
      </c>
      <c r="H35" s="78">
        <v>13071</v>
      </c>
      <c r="I35" s="142">
        <v>15728</v>
      </c>
      <c r="J35" s="78">
        <v>2296</v>
      </c>
      <c r="K35" s="139">
        <v>2974</v>
      </c>
      <c r="L35" s="78">
        <v>5162</v>
      </c>
      <c r="M35" s="142">
        <v>8212</v>
      </c>
      <c r="N35" s="203">
        <f t="shared" si="0"/>
        <v>0.12809077195513871</v>
      </c>
      <c r="O35" s="144">
        <f t="shared" si="1"/>
        <v>0.15563953488372093</v>
      </c>
      <c r="P35" s="109">
        <f t="shared" si="2"/>
        <v>0.39226744186046514</v>
      </c>
      <c r="Q35" s="203">
        <f t="shared" si="3"/>
        <v>0.20273794002607562</v>
      </c>
      <c r="R35" s="109">
        <f t="shared" si="4"/>
        <v>0.41691056910569108</v>
      </c>
      <c r="S35" s="109">
        <f t="shared" si="5"/>
        <v>0.70493224932249321</v>
      </c>
      <c r="T35" s="203">
        <f t="shared" si="6"/>
        <v>0.29529616724738678</v>
      </c>
      <c r="U35" s="109">
        <f t="shared" si="7"/>
        <v>0.73570948217888366</v>
      </c>
      <c r="V35" s="109">
        <f t="shared" si="8"/>
        <v>1.7612642905178211</v>
      </c>
    </row>
    <row r="36" spans="1:24">
      <c r="A36" s="94" t="s">
        <v>5</v>
      </c>
      <c r="B36" s="100">
        <f>SUM(B4:B35)</f>
        <v>507265</v>
      </c>
      <c r="C36" s="100">
        <f t="shared" ref="C36:M36" si="9">SUM(C4:C35)</f>
        <v>563879</v>
      </c>
      <c r="D36" s="100">
        <f t="shared" si="9"/>
        <v>634742</v>
      </c>
      <c r="E36" s="143">
        <f t="shared" si="9"/>
        <v>694412</v>
      </c>
      <c r="F36" s="100">
        <f t="shared" si="9"/>
        <v>309244</v>
      </c>
      <c r="G36" s="140">
        <f t="shared" si="9"/>
        <v>330343</v>
      </c>
      <c r="H36" s="100">
        <f t="shared" si="9"/>
        <v>431794</v>
      </c>
      <c r="I36" s="143">
        <f t="shared" si="9"/>
        <v>504249</v>
      </c>
      <c r="J36" s="100">
        <f t="shared" si="9"/>
        <v>109242</v>
      </c>
      <c r="K36" s="140">
        <f t="shared" si="9"/>
        <v>129230</v>
      </c>
      <c r="L36" s="100">
        <f t="shared" si="9"/>
        <v>184632</v>
      </c>
      <c r="M36" s="143">
        <f t="shared" si="9"/>
        <v>274497</v>
      </c>
      <c r="N36" s="393">
        <f t="shared" si="0"/>
        <v>0.11160635959508344</v>
      </c>
      <c r="O36" s="145">
        <f t="shared" si="1"/>
        <v>0.1256705782623577</v>
      </c>
      <c r="P36" s="137">
        <f t="shared" si="2"/>
        <v>0.23149115324386971</v>
      </c>
      <c r="Q36" s="393">
        <f t="shared" si="3"/>
        <v>6.8227677820749955E-2</v>
      </c>
      <c r="R36" s="137">
        <f t="shared" si="4"/>
        <v>0.30710806646425082</v>
      </c>
      <c r="S36" s="137">
        <f t="shared" si="5"/>
        <v>0.52644069951535222</v>
      </c>
      <c r="T36" s="393">
        <f t="shared" si="6"/>
        <v>0.18296991999414144</v>
      </c>
      <c r="U36" s="137">
        <f t="shared" si="7"/>
        <v>0.42870850421728701</v>
      </c>
      <c r="V36" s="137">
        <f>(M36-$K36)/$K36</f>
        <v>1.1240965720034048</v>
      </c>
    </row>
    <row r="38" spans="1:24">
      <c r="A38" s="1" t="s">
        <v>93</v>
      </c>
      <c r="B38" s="1"/>
    </row>
    <row r="39" spans="1:24">
      <c r="A39" s="85" t="s">
        <v>340</v>
      </c>
      <c r="B39" s="85"/>
    </row>
    <row r="41" spans="1:24">
      <c r="C41" s="747"/>
      <c r="D41" s="747"/>
    </row>
    <row r="43" spans="1:24">
      <c r="C43" s="18"/>
      <c r="D43" s="18"/>
      <c r="E43" s="18"/>
      <c r="F43" s="18"/>
      <c r="G43" s="18"/>
      <c r="H43" s="18"/>
      <c r="I43" s="18"/>
      <c r="J43" s="18"/>
      <c r="K43" s="138"/>
      <c r="L43" s="138"/>
      <c r="M43" s="138"/>
      <c r="N43" s="138"/>
      <c r="O43" s="138"/>
      <c r="P43" s="138"/>
      <c r="Q43" s="138"/>
      <c r="R43" s="138"/>
      <c r="S43" s="138"/>
      <c r="T43" s="138"/>
      <c r="U43" s="138"/>
      <c r="V43" s="138"/>
      <c r="W43" s="138"/>
      <c r="X43" s="138"/>
    </row>
    <row r="44" spans="1:24">
      <c r="C44" s="18"/>
      <c r="D44" s="18"/>
      <c r="E44" s="18"/>
      <c r="F44" s="18"/>
      <c r="G44" s="18"/>
      <c r="H44" s="18"/>
      <c r="I44" s="18"/>
      <c r="J44" s="18"/>
      <c r="K44" s="11"/>
      <c r="L44" s="11"/>
      <c r="M44" s="11"/>
      <c r="N44" s="11"/>
      <c r="O44" s="11"/>
      <c r="P44" s="11"/>
      <c r="Q44" s="11"/>
      <c r="R44" s="11"/>
      <c r="S44" s="11"/>
      <c r="T44" s="11"/>
      <c r="U44" s="11"/>
      <c r="V44" s="11"/>
      <c r="W44" s="11"/>
      <c r="X44" s="11"/>
    </row>
    <row r="46" spans="1:24">
      <c r="C46" s="747"/>
      <c r="D46" s="747"/>
      <c r="E46" s="747"/>
      <c r="F46" s="97"/>
      <c r="G46" s="747"/>
      <c r="H46" s="747"/>
      <c r="I46" s="747"/>
      <c r="J46" s="97"/>
    </row>
    <row r="48" spans="1:24">
      <c r="C48" s="18"/>
      <c r="D48" s="18"/>
      <c r="E48" s="18"/>
      <c r="F48" s="18"/>
      <c r="G48" s="18"/>
      <c r="H48" s="18"/>
      <c r="I48" s="18"/>
      <c r="J48" s="18"/>
    </row>
    <row r="49" spans="3:10">
      <c r="C49" s="18"/>
      <c r="D49" s="18"/>
      <c r="E49" s="18"/>
      <c r="F49" s="18"/>
      <c r="G49" s="18"/>
      <c r="H49" s="18"/>
      <c r="I49" s="18"/>
      <c r="J49" s="18"/>
    </row>
  </sheetData>
  <sheetProtection selectLockedCells="1" selectUnlockedCells="1"/>
  <mergeCells count="9">
    <mergeCell ref="N2:P2"/>
    <mergeCell ref="Q2:S2"/>
    <mergeCell ref="T2:V2"/>
    <mergeCell ref="C46:E46"/>
    <mergeCell ref="G46:I46"/>
    <mergeCell ref="C41:D41"/>
    <mergeCell ref="B2:E2"/>
    <mergeCell ref="F2:I2"/>
    <mergeCell ref="J2:M2"/>
  </mergeCells>
  <phoneticPr fontId="5" type="noConversion"/>
  <hyperlinks>
    <hyperlink ref="A39" r:id="rId1"/>
  </hyperlinks>
  <pageMargins left="0.75" right="0.75" top="1" bottom="1" header="0.5" footer="0.5"/>
  <pageSetup paperSize="9" scale="57" orientation="landscape" r:id="rId2"/>
  <headerFooter alignWithMargins="0"/>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11</vt:i4>
      </vt:variant>
    </vt:vector>
  </HeadingPairs>
  <TitlesOfParts>
    <vt:vector size="42" baseType="lpstr">
      <vt:lpstr>Update 2014</vt:lpstr>
      <vt:lpstr>Cover</vt:lpstr>
      <vt:lpstr>Scotland</vt:lpstr>
      <vt:lpstr>Evaluation and Deprivation</vt:lpstr>
      <vt:lpstr>Evaluation Graph Attempt</vt:lpstr>
      <vt:lpstr>Deprivation Graph Attempt</vt:lpstr>
      <vt:lpstr>LFR Data</vt:lpstr>
      <vt:lpstr>GAE Data</vt:lpstr>
      <vt:lpstr>Population Projections 65+</vt:lpstr>
      <vt:lpstr>Statistics - Older People</vt:lpstr>
      <vt:lpstr>Statistics - Children</vt:lpstr>
      <vt:lpstr>Population Figures</vt:lpstr>
      <vt:lpstr>Per Capita Data - Overall</vt:lpstr>
      <vt:lpstr>Per Capita Data - C&amp;F</vt:lpstr>
      <vt:lpstr>Per Capita Data - Older</vt:lpstr>
      <vt:lpstr>Per Capita Data - LD</vt:lpstr>
      <vt:lpstr>Per Capita Data - MH</vt:lpstr>
      <vt:lpstr>Per Capita Data - Other needs</vt:lpstr>
      <vt:lpstr>2003-04</vt:lpstr>
      <vt:lpstr>2004-05</vt:lpstr>
      <vt:lpstr>2005-06</vt:lpstr>
      <vt:lpstr>2006-07</vt:lpstr>
      <vt:lpstr>2007-08</vt:lpstr>
      <vt:lpstr>2008-09</vt:lpstr>
      <vt:lpstr>2009-10</vt:lpstr>
      <vt:lpstr>2010-11</vt:lpstr>
      <vt:lpstr>2011-12</vt:lpstr>
      <vt:lpstr>2014-15</vt:lpstr>
      <vt:lpstr>2013-14</vt:lpstr>
      <vt:lpstr>2012-13</vt:lpstr>
      <vt:lpstr>Deflators</vt:lpstr>
      <vt:lpstr>Scotland!delete</vt:lpstr>
      <vt:lpstr>delete</vt:lpstr>
      <vt:lpstr>'2011-12'!Print_Area</vt:lpstr>
      <vt:lpstr>'2012-13'!Print_Area</vt:lpstr>
      <vt:lpstr>Cover!Print_Area</vt:lpstr>
      <vt:lpstr>'LFR Data'!Print_Area</vt:lpstr>
      <vt:lpstr>'Population Projections 65+'!Print_Area</vt:lpstr>
      <vt:lpstr>Scotland!Print_Area</vt:lpstr>
      <vt:lpstr>'Statistics - Older People'!Print_Area</vt:lpstr>
      <vt:lpstr>Cover!Print_Titles</vt:lpstr>
      <vt:lpstr>Scotland!Print_Titles</vt:lpstr>
    </vt:vector>
  </TitlesOfParts>
  <Company>Scottish Executive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z603131</dc:creator>
  <cp:lastModifiedBy>colacof</cp:lastModifiedBy>
  <cp:lastPrinted>2016-08-10T08:36:31Z</cp:lastPrinted>
  <dcterms:created xsi:type="dcterms:W3CDTF">2010-02-17T15:31:16Z</dcterms:created>
  <dcterms:modified xsi:type="dcterms:W3CDTF">2016-10-07T13:08:00Z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A6692285</vt:lpwstr>
  </property>
  <property fmtid="{D5CDD505-2E9C-101B-9397-08002B2CF9AE}" pid="3" name="Objective-Comment">
    <vt:lpwstr>
    </vt:lpwstr>
  </property>
  <property fmtid="{D5CDD505-2E9C-101B-9397-08002B2CF9AE}" pid="4" name="Objective-CreationStamp">
    <vt:filetime>2013-09-03T15:56:10Z</vt:filetime>
  </property>
  <property fmtid="{D5CDD505-2E9C-101B-9397-08002B2CF9AE}" pid="5" name="Objective-IsApproved">
    <vt:bool>false</vt:bool>
  </property>
  <property fmtid="{D5CDD505-2E9C-101B-9397-08002B2CF9AE}" pid="6" name="Objective-IsPublished">
    <vt:bool>false</vt:bool>
  </property>
  <property fmtid="{D5CDD505-2E9C-101B-9397-08002B2CF9AE}" pid="7" name="Objective-DatePublished">
    <vt:lpwstr>
    </vt:lpwstr>
  </property>
  <property fmtid="{D5CDD505-2E9C-101B-9397-08002B2CF9AE}" pid="8" name="Objective-ModificationStamp">
    <vt:filetime>2013-09-03T15:56:11Z</vt:filetime>
  </property>
  <property fmtid="{D5CDD505-2E9C-101B-9397-08002B2CF9AE}" pid="9" name="Objective-Owner">
    <vt:lpwstr>Hilland, Kirsten K (Z417230)</vt:lpwstr>
  </property>
  <property fmtid="{D5CDD505-2E9C-101B-9397-08002B2CF9AE}" pid="10" name="Objective-Path">
    <vt:lpwstr>Objective Global Folder:SG File Plan:People, communities and living:Families and children:General:Research and analysis: Families and children - general:Statistical: Education Analytical Services (ASU-CYPSC): Statistics: 2012-2017:</vt:lpwstr>
  </property>
  <property fmtid="{D5CDD505-2E9C-101B-9397-08002B2CF9AE}" pid="11" name="Objective-Parent">
    <vt:lpwstr>Statistical: Education Analytical Services (ASU-CYPSC): Statistics: 2012-2017</vt:lpwstr>
  </property>
  <property fmtid="{D5CDD505-2E9C-101B-9397-08002B2CF9AE}" pid="12" name="Objective-State">
    <vt:lpwstr>Being Drafted</vt:lpwstr>
  </property>
  <property fmtid="{D5CDD505-2E9C-101B-9397-08002B2CF9AE}" pid="13" name="Objective-Title">
    <vt:lpwstr>SWIA Tool July 2013 - Final Version</vt:lpwstr>
  </property>
  <property fmtid="{D5CDD505-2E9C-101B-9397-08002B2CF9AE}" pid="14" name="Objective-Version">
    <vt:lpwstr>0.1</vt:lpwstr>
  </property>
  <property fmtid="{D5CDD505-2E9C-101B-9397-08002B2CF9AE}" pid="15" name="Objective-VersionComment">
    <vt:lpwstr>First version</vt:lpwstr>
  </property>
  <property fmtid="{D5CDD505-2E9C-101B-9397-08002B2CF9AE}" pid="16" name="Objective-VersionNumber">
    <vt:i4>1</vt:i4>
  </property>
  <property fmtid="{D5CDD505-2E9C-101B-9397-08002B2CF9AE}" pid="17" name="Objective-FileNumber">
    <vt:lpwstr>
    </vt:lpwstr>
  </property>
  <property fmtid="{D5CDD505-2E9C-101B-9397-08002B2CF9AE}" pid="18" name="Objective-Classification">
    <vt:lpwstr>[Inherited - Not Protectively Marked]</vt:lpwstr>
  </property>
  <property fmtid="{D5CDD505-2E9C-101B-9397-08002B2CF9AE}" pid="19" name="Objective-Caveats">
    <vt:lpwstr>
    </vt:lpwstr>
  </property>
  <property fmtid="{D5CDD505-2E9C-101B-9397-08002B2CF9AE}" pid="20" name="Objective-Date of Original [system]">
    <vt:lpwstr>
    </vt:lpwstr>
  </property>
  <property fmtid="{D5CDD505-2E9C-101B-9397-08002B2CF9AE}" pid="21" name="Objective-Date Received [system]">
    <vt:lpwstr>
    </vt:lpwstr>
  </property>
  <property fmtid="{D5CDD505-2E9C-101B-9397-08002B2CF9AE}" pid="22" name="Objective-SG Web Publication - Category [system]">
    <vt:lpwstr>
    </vt:lpwstr>
  </property>
  <property fmtid="{D5CDD505-2E9C-101B-9397-08002B2CF9AE}" pid="23" name="Objective-SG Web Publication - Category 2 Classification [system]">
    <vt:lpwstr>
    </vt:lpwstr>
  </property>
</Properties>
</file>